
<file path=[Content_Types].xml><?xml version="1.0" encoding="utf-8"?>
<Types xmlns="http://schemas.openxmlformats.org/package/2006/content-types">
  <Default Extension="png" ContentType="image/png"/>
  <Default Extension="bin" ContentType="application/vnd.openxmlformats-officedocument.spreadsheetml.printerSettings"/>
  <Default Extension="jpeg" ContentType="image/jpe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metadata.xml" ContentType="application/vnd.openxmlformats-officedocument.spreadsheetml.sheetMetadata+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drawings/drawing6.xml" ContentType="application/vnd.openxmlformats-officedocument.drawing+xml"/>
  <Override PartName="/xl/drawings/drawing7.xml" ContentType="application/vnd.openxmlformats-officedocument.drawing+xml"/>
  <Override PartName="/xl/tables/table1.xml" ContentType="application/vnd.openxmlformats-officedocument.spreadsheetml.table+xml"/>
  <Override PartName="/xl/tables/table2.xml" ContentType="application/vnd.openxmlformats-officedocument.spreadsheetml.table+xml"/>
  <Override PartName="/xl/tables/table3.xml" ContentType="application/vnd.openxmlformats-officedocument.spreadsheetml.table+xml"/>
  <Override PartName="/xl/tables/table4.xml" ContentType="application/vnd.openxmlformats-officedocument.spreadsheetml.table+xml"/>
  <Override PartName="/xl/tables/table5.xml" ContentType="application/vnd.openxmlformats-officedocument.spreadsheetml.table+xml"/>
  <Override PartName="/xl/tables/table6.xml" ContentType="application/vnd.openxmlformats-officedocument.spreadsheetml.table+xml"/>
  <Override PartName="/xl/tables/table7.xml" ContentType="application/vnd.openxmlformats-officedocument.spreadsheetml.table+xml"/>
  <Override PartName="/xl/tables/table8.xml" ContentType="application/vnd.openxmlformats-officedocument.spreadsheetml.table+xml"/>
  <Override PartName="/xl/tables/table9.xml" ContentType="application/vnd.openxmlformats-officedocument.spreadsheetml.table+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7" rupBuild="14420"/>
  <workbookPr codeName="DieseArbeitsmappe"/>
  <mc:AlternateContent xmlns:mc="http://schemas.openxmlformats.org/markup-compatibility/2006">
    <mc:Choice Requires="x15">
      <x15ac:absPath xmlns:x15ac="http://schemas.microsoft.com/office/spreadsheetml/2010/11/ac" url="F:\Marketing\NEWSLETTER\2023\12 - November II Steuertipps\Energiekostenzuschuss II\"/>
    </mc:Choice>
  </mc:AlternateContent>
  <workbookProtection workbookAlgorithmName="SHA-512" workbookHashValue="phXa3sDJPDiSFaFBvJZt21XN9/c/1+NhTDfKV+VrlPF0MfHK4vOY7DQMaPTtkkTV/mbFoj3N95vC67kW+KSjUA==" workbookSaltValue="IpDExHZkd6iL8t/OpRDhwQ==" workbookSpinCount="100000" lockStructure="1"/>
  <bookViews>
    <workbookView xWindow="0" yWindow="0" windowWidth="25200" windowHeight="11250" tabRatio="759"/>
  </bookViews>
  <sheets>
    <sheet name="Erläuterung" sheetId="13" r:id="rId1"/>
    <sheet name="1 - Strom Erdgas Wärme Vgl" sheetId="2" r:id="rId2"/>
    <sheet name="2 - Strom Erdgas Wärme Förderj." sheetId="4" r:id="rId3"/>
    <sheet name="3 - Treibstoffe Rechnungen" sheetId="16" r:id="rId4"/>
    <sheet name="3 - Treibstoffe" sheetId="17" r:id="rId5"/>
    <sheet name="4 - Heizöl_Holzpellets_Hacksch." sheetId="22" r:id="rId6"/>
    <sheet name="5 - Zuschuss" sheetId="7" r:id="rId7"/>
    <sheet name="Import" sheetId="10" state="hidden" r:id="rId8"/>
    <sheet name="Zählpunkte Schritt 2" sheetId="9" state="hidden" r:id="rId9"/>
    <sheet name="Parameter" sheetId="21" state="hidden" r:id="rId10"/>
    <sheet name="Liste" sheetId="6" state="hidden" r:id="rId11"/>
  </sheets>
  <definedNames>
    <definedName name="_xlnm._FilterDatabase" localSheetId="5" hidden="1">'4 - Heizöl_Holzpellets_Hacksch.'!#REF!</definedName>
    <definedName name="Auswahl_EBITDA">tab_EBITDA[EBITDA]</definedName>
    <definedName name="Auswahl_Energieart">tbl_Energieart[Energieart]</definedName>
    <definedName name="Auswahl_JaNein">tbl_JaNein[JaNein]</definedName>
    <definedName name="Auswahl_Methode">tbl_Methoden[Methoden]</definedName>
    <definedName name="Auswahl_Öl">tbl_Heizöl[]</definedName>
    <definedName name="Auswahl_Treibstoffart">tbl_Treibstoffart[Treibstoffart]</definedName>
    <definedName name="B_E0_Liter_NichtVSt">'3 - Treibstoffe Rechnungen'!$M$9</definedName>
    <definedName name="B_Standard_Liter_NichtVSt">'3 - Treibstoffe Rechnungen'!$M$8</definedName>
    <definedName name="Benzin_Spez">Liste!$W$1:$W$2</definedName>
    <definedName name="D_B0_Liter_NichtVSt">'3 - Treibstoffe Rechnungen'!$M$7</definedName>
    <definedName name="D_Standard_Liter_NichtVSt">'3 - Treibstoffe Rechnungen'!$M$6</definedName>
    <definedName name="Diesel_Spez">Liste!$V$1:$V$2</definedName>
    <definedName name="do_Hackschnitzel">'4 - Heizöl_Holzpellets_Hacksch.'!$D$14</definedName>
    <definedName name="do_Heizöl">'4 - Heizöl_Holzpellets_Hacksch.'!$D$12</definedName>
    <definedName name="do_Pellets">'4 - Heizöl_Holzpellets_Hacksch.'!$D$13</definedName>
    <definedName name="_xlnm.Print_Area" localSheetId="4">'3 - Treibstoffe'!$B$1:$D$31</definedName>
    <definedName name="_xlnm.Print_Area" localSheetId="5">'4 - Heizöl_Holzpellets_Hacksch.'!$A$1:$W$67</definedName>
    <definedName name="EBIDTA_VZ">'5 - Zuschuss'!$H$25</definedName>
    <definedName name="EBITDA_Absenkung">Parameter!$B$35</definedName>
    <definedName name="EBITDA_FZ">'5 - Zuschuss'!$H$26</definedName>
    <definedName name="Energieart">Liste!$A$2:$A$4</definedName>
    <definedName name="Energieträger_">Liste!$S$1:$S$2</definedName>
    <definedName name="Heizölart">'4 - Heizöl_Holzpellets_Hacksch.'!$H$20</definedName>
    <definedName name="HHH_VSt">'4 - Heizöl_Holzpellets_Hacksch.'!$H$12</definedName>
    <definedName name="Lastprofilzähler">Liste!$D$2:$D$3</definedName>
    <definedName name="Methoden">tbl_Methoden[Methoden]</definedName>
    <definedName name="par_EBITDA_Absenkung">Parameter!$B$35</definedName>
    <definedName name="par_EBITDA_Deckel">Parameter!$B$37</definedName>
    <definedName name="par_EBITDA_Grenzsatz">Parameter!$B$36</definedName>
    <definedName name="par_Erdgas_kWh_max">Parameter!$B$14</definedName>
    <definedName name="par_Erdgas_ZQ">Parameter!$B$15</definedName>
    <definedName name="par_EZ_Grenze">Parameter!$B$23</definedName>
    <definedName name="par_EZ_Grenze_txt">Parameter!$D$23</definedName>
    <definedName name="par_EZ_Stufe">Parameter!$B$22</definedName>
    <definedName name="par_FZ_dText">Parameter!$M$4</definedName>
    <definedName name="par_FZ_Monate">Parameter!$J$4</definedName>
    <definedName name="par_FZ_SEW_Ende">Parameter!$B$4</definedName>
    <definedName name="par_FZ_SEW_Start">Parameter!$B$3</definedName>
    <definedName name="par_FZ_Tage">Parameter!$J$3</definedName>
    <definedName name="par_FZ_Text">Parameter!$L$4</definedName>
    <definedName name="par_Hack_USt">Parameter!$B$30</definedName>
    <definedName name="par_Hack_VZfaktor">Parameter!$B$33</definedName>
    <definedName name="par_Heizöl_USt">Parameter!$B$28</definedName>
    <definedName name="par_Heizöl_VZfaktor">Parameter!$B$31</definedName>
    <definedName name="par_HZetc_ZQ">Parameter!$B$20</definedName>
    <definedName name="par_Jahr1">Parameter!$B$1</definedName>
    <definedName name="par_Jahr2">Parameter!$B$2</definedName>
    <definedName name="par_Pauschalgrenze">Parameter!$B$26</definedName>
    <definedName name="par_Pell_USt">Parameter!$B$29</definedName>
    <definedName name="par_Pell_VZfaktor">Parameter!$B$32</definedName>
    <definedName name="par_SEW_Richtlinie">Parameter!$B$21</definedName>
    <definedName name="par_Strom_kWh_max">Parameter!$B$12</definedName>
    <definedName name="par_Strom_ZQ">Parameter!$B$13</definedName>
    <definedName name="par_Treibstoff_BasisPreisanstieg">Parameter!$B$18</definedName>
    <definedName name="par_TS_brutto">Parameter!$D$7</definedName>
    <definedName name="par_TS_MöstB">Parameter!$B$9</definedName>
    <definedName name="par_TS_MöstB_E0">Parameter!$B$11</definedName>
    <definedName name="par_TS_MöstD">Parameter!$B$8</definedName>
    <definedName name="par_TS_MöstD_B0">Parameter!$B$10</definedName>
    <definedName name="par_TS_Ust">Parameter!$B$7</definedName>
    <definedName name="par_TS_ZQ">Parameter!$B$19</definedName>
    <definedName name="par_VZ_dText">Parameter!$M$6</definedName>
    <definedName name="par_VZ_Monate">Parameter!$J$6</definedName>
    <definedName name="par_VZ_SEW_Ende">Parameter!$B$6</definedName>
    <definedName name="par_VZ_SEW_Start">Parameter!$B$5</definedName>
    <definedName name="par_VZ_Tage">Parameter!$J$5</definedName>
    <definedName name="par_VZ_Text">Parameter!$L$6</definedName>
    <definedName name="par_WK_kWh_max">Parameter!$B$16</definedName>
    <definedName name="par_WK_ZQ">Parameter!$B$17</definedName>
    <definedName name="par_Zuschuss_EBITDAgrenze">Parameter!$B$34</definedName>
    <definedName name="par_Zuschuss_max">Parameter!$B$27</definedName>
    <definedName name="par_Zuschuss_Pauschal">Parameter!$B$25</definedName>
    <definedName name="par_Zuschuss_Untergrenze">Parameter!$B$24</definedName>
    <definedName name="Treibstoffspezifikation">Liste!$U$1:$U$3</definedName>
    <definedName name="TS_brutto">'3 - Treibstoffe Rechnungen'!$F$13:$F$134</definedName>
    <definedName name="TS_Liter">'3 - Treibstoffe Rechnungen'!$H$13:$H$134</definedName>
    <definedName name="TS_netto">'3 - Treibstoffe Rechnungen'!$G$13:$G$134</definedName>
    <definedName name="TS_Treibstoffart">'3 - Treibstoffe Rechnungen'!$E$13:$E$134</definedName>
    <definedName name="TS_Vorsteuer">'3 - Treibstoffe Rechnungen'!$J$13:$J$134</definedName>
    <definedName name="Verweis_Heizölart">tbl_Heizöl[]</definedName>
    <definedName name="Zuschuss_vorläufig">'5 - Zuschuss'!$I$16</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B24" i="7" l="1"/>
  <c r="L14" i="7" l="1"/>
  <c r="L13" i="7"/>
  <c r="L12" i="7"/>
  <c r="L10" i="7" l="1"/>
  <c r="K62" i="22"/>
  <c r="J63" i="22"/>
  <c r="J64" i="22"/>
  <c r="J62" i="22"/>
  <c r="M62" i="22" s="1" a="1"/>
  <c r="M62" i="22" s="1"/>
  <c r="K54" i="22"/>
  <c r="M54" i="22" s="1" a="1"/>
  <c r="M54" i="22" s="1"/>
  <c r="K55" i="22"/>
  <c r="M55" i="22" s="1" a="1"/>
  <c r="M55" i="22" s="1"/>
  <c r="K53" i="22"/>
  <c r="M53" i="22" s="1" a="1"/>
  <c r="M53" i="22" s="1"/>
  <c r="B11" i="21" l="1"/>
  <c r="B10" i="21"/>
  <c r="B9" i="21"/>
  <c r="B8" i="21"/>
  <c r="R9" i="16" l="1"/>
  <c r="P9" i="16"/>
  <c r="R8" i="16"/>
  <c r="P8" i="16"/>
  <c r="R7" i="16"/>
  <c r="P7" i="16"/>
  <c r="R6" i="16"/>
  <c r="P6" i="16"/>
  <c r="I130" i="4"/>
  <c r="J130" i="4" s="1"/>
  <c r="K130" i="4" s="1"/>
  <c r="L130" i="4" s="1"/>
  <c r="M130" i="4" s="1"/>
  <c r="N130" i="4" s="1"/>
  <c r="I122" i="4"/>
  <c r="J122" i="4" s="1"/>
  <c r="K122" i="4" s="1"/>
  <c r="L122" i="4" s="1"/>
  <c r="M122" i="4" s="1"/>
  <c r="N122" i="4" s="1"/>
  <c r="I114" i="4"/>
  <c r="J114" i="4" s="1"/>
  <c r="K114" i="4" s="1"/>
  <c r="L114" i="4" s="1"/>
  <c r="M114" i="4" s="1"/>
  <c r="N114" i="4" s="1"/>
  <c r="I106" i="4"/>
  <c r="J106" i="4" s="1"/>
  <c r="K106" i="4" s="1"/>
  <c r="L106" i="4" s="1"/>
  <c r="M106" i="4" s="1"/>
  <c r="N106" i="4" s="1"/>
  <c r="I98" i="4"/>
  <c r="J98" i="4" s="1"/>
  <c r="K98" i="4" s="1"/>
  <c r="L98" i="4" s="1"/>
  <c r="M98" i="4" s="1"/>
  <c r="N98" i="4" s="1"/>
  <c r="I90" i="4"/>
  <c r="J90" i="4" s="1"/>
  <c r="K90" i="4" s="1"/>
  <c r="L90" i="4" s="1"/>
  <c r="M90" i="4" s="1"/>
  <c r="N90" i="4" s="1"/>
  <c r="I82" i="4"/>
  <c r="J82" i="4" s="1"/>
  <c r="K82" i="4" s="1"/>
  <c r="L82" i="4" s="1"/>
  <c r="M82" i="4" s="1"/>
  <c r="N82" i="4" s="1"/>
  <c r="I74" i="4"/>
  <c r="J74" i="4" s="1"/>
  <c r="K74" i="4" s="1"/>
  <c r="L74" i="4" s="1"/>
  <c r="M74" i="4" s="1"/>
  <c r="N74" i="4" s="1"/>
  <c r="I66" i="4"/>
  <c r="J66" i="4" s="1"/>
  <c r="K66" i="4" s="1"/>
  <c r="L66" i="4" s="1"/>
  <c r="M66" i="4" s="1"/>
  <c r="N66" i="4" s="1"/>
  <c r="I58" i="4"/>
  <c r="J58" i="4" s="1"/>
  <c r="K58" i="4" s="1"/>
  <c r="L58" i="4" s="1"/>
  <c r="M58" i="4" s="1"/>
  <c r="N58" i="4" s="1"/>
  <c r="I50" i="4"/>
  <c r="J50" i="4" s="1"/>
  <c r="K50" i="4" s="1"/>
  <c r="L50" i="4" s="1"/>
  <c r="M50" i="4" s="1"/>
  <c r="N50" i="4" s="1"/>
  <c r="K124" i="2"/>
  <c r="B124" i="2"/>
  <c r="K123" i="2"/>
  <c r="B123" i="2"/>
  <c r="K121" i="2"/>
  <c r="AA120" i="2"/>
  <c r="Z120" i="2"/>
  <c r="Y120" i="2"/>
  <c r="X120" i="2"/>
  <c r="W120" i="2"/>
  <c r="K117" i="2"/>
  <c r="B117" i="2"/>
  <c r="K116" i="2"/>
  <c r="B116" i="2"/>
  <c r="K114" i="2"/>
  <c r="AA113" i="2"/>
  <c r="Z113" i="2"/>
  <c r="Y113" i="2"/>
  <c r="X113" i="2"/>
  <c r="W113" i="2"/>
  <c r="K110" i="2"/>
  <c r="B110" i="2"/>
  <c r="K109" i="2"/>
  <c r="B109" i="2"/>
  <c r="K107" i="2"/>
  <c r="AA106" i="2"/>
  <c r="Z106" i="2"/>
  <c r="Y106" i="2"/>
  <c r="X106" i="2"/>
  <c r="W106" i="2"/>
  <c r="K103" i="2"/>
  <c r="B103" i="2"/>
  <c r="K102" i="2"/>
  <c r="B102" i="2"/>
  <c r="K100" i="2"/>
  <c r="AA99" i="2"/>
  <c r="Z99" i="2"/>
  <c r="Y99" i="2"/>
  <c r="X99" i="2"/>
  <c r="W99" i="2"/>
  <c r="K96" i="2"/>
  <c r="B96" i="2"/>
  <c r="K95" i="2"/>
  <c r="B95" i="2"/>
  <c r="K93" i="2"/>
  <c r="AA92" i="2"/>
  <c r="Z92" i="2"/>
  <c r="Y92" i="2"/>
  <c r="X92" i="2"/>
  <c r="W92" i="2"/>
  <c r="K89" i="2"/>
  <c r="B89" i="2"/>
  <c r="K88" i="2"/>
  <c r="B88" i="2"/>
  <c r="K86" i="2"/>
  <c r="AA85" i="2"/>
  <c r="Z85" i="2"/>
  <c r="Y85" i="2"/>
  <c r="X85" i="2"/>
  <c r="W85" i="2"/>
  <c r="K82" i="2"/>
  <c r="B82" i="2"/>
  <c r="K81" i="2"/>
  <c r="B81" i="2"/>
  <c r="K79" i="2"/>
  <c r="AA78" i="2"/>
  <c r="Z78" i="2"/>
  <c r="Y78" i="2"/>
  <c r="X78" i="2"/>
  <c r="W78" i="2"/>
  <c r="K75" i="2"/>
  <c r="B75" i="2"/>
  <c r="K74" i="2"/>
  <c r="B74" i="2"/>
  <c r="K72" i="2"/>
  <c r="AA71" i="2"/>
  <c r="Z71" i="2"/>
  <c r="Y71" i="2"/>
  <c r="X71" i="2"/>
  <c r="W71" i="2"/>
  <c r="K68" i="2"/>
  <c r="B68" i="2"/>
  <c r="K67" i="2"/>
  <c r="B67" i="2"/>
  <c r="K65" i="2"/>
  <c r="AA64" i="2"/>
  <c r="Z64" i="2"/>
  <c r="Y64" i="2"/>
  <c r="X64" i="2"/>
  <c r="W64" i="2"/>
  <c r="K61" i="2"/>
  <c r="B61" i="2"/>
  <c r="K60" i="2"/>
  <c r="B60" i="2"/>
  <c r="K58" i="2"/>
  <c r="AA57" i="2"/>
  <c r="Z57" i="2"/>
  <c r="Y57" i="2"/>
  <c r="X57" i="2"/>
  <c r="W57" i="2"/>
  <c r="K54" i="2"/>
  <c r="B54" i="2"/>
  <c r="K53" i="2"/>
  <c r="B53" i="2"/>
  <c r="K51" i="2"/>
  <c r="AA50" i="2"/>
  <c r="Z50" i="2"/>
  <c r="Y50" i="2"/>
  <c r="X50" i="2"/>
  <c r="W50" i="2"/>
  <c r="K47" i="2"/>
  <c r="B47" i="2"/>
  <c r="K46" i="2"/>
  <c r="B46" i="2"/>
  <c r="K44" i="2"/>
  <c r="AA43" i="2"/>
  <c r="Z43" i="2"/>
  <c r="Y43" i="2"/>
  <c r="X43" i="2"/>
  <c r="W43" i="2"/>
  <c r="W36" i="2"/>
  <c r="D23" i="17" l="1"/>
  <c r="C12" i="17"/>
  <c r="C23" i="17"/>
  <c r="D12" i="17"/>
  <c r="C21" i="17"/>
  <c r="D21" i="17"/>
  <c r="B8" i="4"/>
  <c r="O9" i="16" l="1"/>
  <c r="M9" i="16"/>
  <c r="O8" i="16"/>
  <c r="N8" i="16"/>
  <c r="M8" i="16"/>
  <c r="O7" i="16"/>
  <c r="M7" i="16"/>
  <c r="O6" i="16"/>
  <c r="M6" i="16"/>
  <c r="C7" i="17" l="1"/>
  <c r="D7" i="17"/>
  <c r="D22" i="17"/>
  <c r="C22" i="17"/>
  <c r="C20" i="17"/>
  <c r="C8" i="17"/>
  <c r="D8" i="17"/>
  <c r="D20" i="17"/>
  <c r="L11" i="7"/>
  <c r="K63" i="22"/>
  <c r="M63" i="22" s="1" a="1"/>
  <c r="M63" i="22" s="1"/>
  <c r="K64" i="22"/>
  <c r="M64" i="22" s="1" a="1"/>
  <c r="M64" i="22" s="1"/>
  <c r="B25" i="7"/>
  <c r="B26" i="7"/>
  <c r="B30" i="2"/>
  <c r="B25" i="2"/>
  <c r="B20" i="2"/>
  <c r="H61" i="22" l="1"/>
  <c r="F61" i="22"/>
  <c r="D61" i="22"/>
  <c r="H33" i="22"/>
  <c r="R21" i="22"/>
  <c r="R34" i="22" s="1"/>
  <c r="H21" i="22"/>
  <c r="H34" i="22" s="1"/>
  <c r="M4" i="21"/>
  <c r="J21" i="22" s="1"/>
  <c r="M6" i="21"/>
  <c r="J34" i="22" s="1"/>
  <c r="L6" i="21"/>
  <c r="P38" i="22"/>
  <c r="Q38" i="22" s="1"/>
  <c r="E38" i="22" s="1"/>
  <c r="B22" i="10" s="1"/>
  <c r="P37" i="22"/>
  <c r="Q37" i="22" s="1"/>
  <c r="E37" i="22" s="1"/>
  <c r="B19" i="10" s="1"/>
  <c r="P34" i="22"/>
  <c r="P24" i="22"/>
  <c r="Q24" i="22" s="1"/>
  <c r="E24" i="22" s="1"/>
  <c r="P21" i="22"/>
  <c r="B18" i="10" l="1"/>
  <c r="S21" i="22"/>
  <c r="S34" i="22"/>
  <c r="Q34" i="22"/>
  <c r="Q21" i="22"/>
  <c r="P25" i="22"/>
  <c r="J25" i="22"/>
  <c r="J24" i="22"/>
  <c r="J37" i="22"/>
  <c r="J38" i="22"/>
  <c r="Q25" i="22" l="1"/>
  <c r="E25" i="22" s="1"/>
  <c r="E20" i="22"/>
  <c r="B21" i="10" l="1"/>
  <c r="B15" i="10"/>
  <c r="E33" i="22"/>
  <c r="B16" i="10" s="1"/>
  <c r="B40" i="2"/>
  <c r="B39" i="2"/>
  <c r="K39" i="2"/>
  <c r="L9" i="7"/>
  <c r="L8" i="7"/>
  <c r="D7" i="21"/>
  <c r="I14" i="16"/>
  <c r="I15" i="16"/>
  <c r="I16" i="16"/>
  <c r="I17" i="16"/>
  <c r="I18" i="16"/>
  <c r="I19" i="16"/>
  <c r="I20" i="16"/>
  <c r="I21" i="16"/>
  <c r="I22" i="16"/>
  <c r="I23" i="16"/>
  <c r="I24" i="16"/>
  <c r="I25" i="16"/>
  <c r="I26" i="16"/>
  <c r="I27" i="16"/>
  <c r="I28" i="16"/>
  <c r="I29" i="16"/>
  <c r="I30" i="16"/>
  <c r="I31" i="16"/>
  <c r="I32" i="16"/>
  <c r="I33" i="16"/>
  <c r="I34" i="16"/>
  <c r="I35" i="16"/>
  <c r="I36" i="16"/>
  <c r="I37" i="16"/>
  <c r="I38" i="16"/>
  <c r="I39" i="16"/>
  <c r="I40" i="16"/>
  <c r="I41" i="16"/>
  <c r="I42" i="16"/>
  <c r="I43" i="16"/>
  <c r="I44" i="16"/>
  <c r="I45" i="16"/>
  <c r="I46" i="16"/>
  <c r="I47" i="16"/>
  <c r="I48" i="16"/>
  <c r="I49" i="16"/>
  <c r="I50" i="16"/>
  <c r="I51" i="16"/>
  <c r="I52" i="16"/>
  <c r="I53" i="16"/>
  <c r="I54" i="16"/>
  <c r="I55" i="16"/>
  <c r="I56" i="16"/>
  <c r="I57" i="16"/>
  <c r="I58" i="16"/>
  <c r="I59" i="16"/>
  <c r="I60" i="16"/>
  <c r="I61" i="16"/>
  <c r="I62" i="16"/>
  <c r="I63" i="16"/>
  <c r="I64" i="16"/>
  <c r="I65" i="16"/>
  <c r="I66" i="16"/>
  <c r="I67" i="16"/>
  <c r="I68" i="16"/>
  <c r="I69" i="16"/>
  <c r="I70" i="16"/>
  <c r="I71" i="16"/>
  <c r="I72" i="16"/>
  <c r="I73" i="16"/>
  <c r="I74" i="16"/>
  <c r="I75" i="16"/>
  <c r="I76" i="16"/>
  <c r="I77" i="16"/>
  <c r="I78" i="16"/>
  <c r="I79" i="16"/>
  <c r="I80" i="16"/>
  <c r="I81" i="16"/>
  <c r="I82" i="16"/>
  <c r="I83" i="16"/>
  <c r="I84" i="16"/>
  <c r="I85" i="16"/>
  <c r="I86" i="16"/>
  <c r="I87" i="16"/>
  <c r="I88" i="16"/>
  <c r="I89" i="16"/>
  <c r="I90" i="16"/>
  <c r="I91" i="16"/>
  <c r="I92" i="16"/>
  <c r="I93" i="16"/>
  <c r="I94" i="16"/>
  <c r="I95" i="16"/>
  <c r="I96" i="16"/>
  <c r="I97" i="16"/>
  <c r="I98" i="16"/>
  <c r="I99" i="16"/>
  <c r="I100" i="16"/>
  <c r="I101" i="16"/>
  <c r="I102" i="16"/>
  <c r="I103" i="16"/>
  <c r="I104" i="16"/>
  <c r="I105" i="16"/>
  <c r="I106" i="16"/>
  <c r="I107" i="16"/>
  <c r="I108" i="16"/>
  <c r="I109" i="16"/>
  <c r="I110" i="16"/>
  <c r="I111" i="16"/>
  <c r="I112" i="16"/>
  <c r="I113" i="16"/>
  <c r="I114" i="16"/>
  <c r="I115" i="16"/>
  <c r="I116" i="16"/>
  <c r="I117" i="16"/>
  <c r="I118" i="16"/>
  <c r="I119" i="16"/>
  <c r="I120" i="16"/>
  <c r="I121" i="16"/>
  <c r="I122" i="16"/>
  <c r="I123" i="16"/>
  <c r="I124" i="16"/>
  <c r="I125" i="16"/>
  <c r="I126" i="16"/>
  <c r="I127" i="16"/>
  <c r="I128" i="16"/>
  <c r="I129" i="16"/>
  <c r="I130" i="16"/>
  <c r="I131" i="16"/>
  <c r="I132" i="16"/>
  <c r="I133" i="16"/>
  <c r="I134" i="16"/>
  <c r="L4" i="21"/>
  <c r="G14" i="16" l="1"/>
  <c r="N6" i="16" s="1"/>
  <c r="G22" i="16"/>
  <c r="G30" i="16"/>
  <c r="G38" i="16"/>
  <c r="G46" i="16"/>
  <c r="G54" i="16"/>
  <c r="G62" i="16"/>
  <c r="G70" i="16"/>
  <c r="G78" i="16"/>
  <c r="G86" i="16"/>
  <c r="G94" i="16"/>
  <c r="G102" i="16"/>
  <c r="G110" i="16"/>
  <c r="G118" i="16"/>
  <c r="G126" i="16"/>
  <c r="G134" i="16"/>
  <c r="G15" i="16"/>
  <c r="G23" i="16"/>
  <c r="G31" i="16"/>
  <c r="G39" i="16"/>
  <c r="G47" i="16"/>
  <c r="G55" i="16"/>
  <c r="G63" i="16"/>
  <c r="G71" i="16"/>
  <c r="G79" i="16"/>
  <c r="G16" i="16"/>
  <c r="G24" i="16"/>
  <c r="G32" i="16"/>
  <c r="G40" i="16"/>
  <c r="G48" i="16"/>
  <c r="G56" i="16"/>
  <c r="G64" i="16"/>
  <c r="G72" i="16"/>
  <c r="G80" i="16"/>
  <c r="G88" i="16"/>
  <c r="G96" i="16"/>
  <c r="G104" i="16"/>
  <c r="G112" i="16"/>
  <c r="G120" i="16"/>
  <c r="G128" i="16"/>
  <c r="G101" i="16"/>
  <c r="G87" i="16"/>
  <c r="G119" i="16"/>
  <c r="G17" i="16"/>
  <c r="G25" i="16"/>
  <c r="G33" i="16"/>
  <c r="G41" i="16"/>
  <c r="G49" i="16"/>
  <c r="G57" i="16"/>
  <c r="G65" i="16"/>
  <c r="G73" i="16"/>
  <c r="G81" i="16"/>
  <c r="G89" i="16"/>
  <c r="G97" i="16"/>
  <c r="G105" i="16"/>
  <c r="G113" i="16"/>
  <c r="G121" i="16"/>
  <c r="G129" i="16"/>
  <c r="G21" i="16"/>
  <c r="G29" i="16"/>
  <c r="G37" i="16"/>
  <c r="G45" i="16"/>
  <c r="G53" i="16"/>
  <c r="G61" i="16"/>
  <c r="G69" i="16"/>
  <c r="G77" i="16"/>
  <c r="G85" i="16"/>
  <c r="G93" i="16"/>
  <c r="G109" i="16"/>
  <c r="G125" i="16"/>
  <c r="G18" i="16"/>
  <c r="G26" i="16"/>
  <c r="G34" i="16"/>
  <c r="G42" i="16"/>
  <c r="G50" i="16"/>
  <c r="G58" i="16"/>
  <c r="G66" i="16"/>
  <c r="G74" i="16"/>
  <c r="G82" i="16"/>
  <c r="G90" i="16"/>
  <c r="G98" i="16"/>
  <c r="G106" i="16"/>
  <c r="G114" i="16"/>
  <c r="G122" i="16"/>
  <c r="G130" i="16"/>
  <c r="G133" i="16"/>
  <c r="G103" i="16"/>
  <c r="G13" i="16"/>
  <c r="G19" i="16"/>
  <c r="Q9" i="16" s="1"/>
  <c r="G27" i="16"/>
  <c r="G35" i="16"/>
  <c r="G43" i="16"/>
  <c r="G51" i="16"/>
  <c r="G59" i="16"/>
  <c r="G67" i="16"/>
  <c r="G75" i="16"/>
  <c r="G83" i="16"/>
  <c r="G91" i="16"/>
  <c r="G99" i="16"/>
  <c r="G107" i="16"/>
  <c r="G115" i="16"/>
  <c r="G123" i="16"/>
  <c r="G131" i="16"/>
  <c r="G60" i="16"/>
  <c r="G84" i="16"/>
  <c r="G100" i="16"/>
  <c r="G108" i="16"/>
  <c r="G116" i="16"/>
  <c r="G124" i="16"/>
  <c r="G132" i="16"/>
  <c r="G117" i="16"/>
  <c r="G95" i="16"/>
  <c r="G127" i="16"/>
  <c r="G20" i="16"/>
  <c r="N9" i="16" s="1"/>
  <c r="G28" i="16"/>
  <c r="G36" i="16"/>
  <c r="G44" i="16"/>
  <c r="G52" i="16"/>
  <c r="G68" i="16"/>
  <c r="G76" i="16"/>
  <c r="G92" i="16"/>
  <c r="G111" i="16"/>
  <c r="D23" i="21"/>
  <c r="J6" i="21"/>
  <c r="J4" i="21"/>
  <c r="J5" i="21"/>
  <c r="J3" i="21"/>
  <c r="K37" i="2"/>
  <c r="K40" i="2"/>
  <c r="F6" i="21"/>
  <c r="F5" i="21"/>
  <c r="F4" i="21"/>
  <c r="F3" i="21"/>
  <c r="H6" i="21"/>
  <c r="H5" i="21"/>
  <c r="H4" i="21"/>
  <c r="H3" i="21"/>
  <c r="D6" i="21"/>
  <c r="D5" i="21"/>
  <c r="D4" i="21"/>
  <c r="D3" i="21"/>
  <c r="I2" i="9"/>
  <c r="J2" i="9" s="1"/>
  <c r="K2" i="9" s="1"/>
  <c r="L2" i="9" s="1"/>
  <c r="M2" i="9" s="1"/>
  <c r="N2" i="9" s="1"/>
  <c r="I42" i="4"/>
  <c r="J42" i="4" s="1"/>
  <c r="K42" i="4" s="1"/>
  <c r="L42" i="4" s="1"/>
  <c r="M42" i="4" s="1"/>
  <c r="N42" i="4" s="1"/>
  <c r="B12" i="2"/>
  <c r="M7" i="9"/>
  <c r="L7" i="9"/>
  <c r="K7" i="9"/>
  <c r="B2" i="22" l="1"/>
  <c r="B3" i="7"/>
  <c r="N7" i="16"/>
  <c r="Q7" i="16"/>
  <c r="Q8" i="16"/>
  <c r="C13" i="17" s="1"/>
  <c r="Q6" i="16"/>
  <c r="E46" i="22"/>
  <c r="E45" i="22"/>
  <c r="E44" i="22"/>
  <c r="B3" i="4"/>
  <c r="B3" i="2"/>
  <c r="B20" i="10" l="1"/>
  <c r="I14" i="7"/>
  <c r="B17" i="10"/>
  <c r="I13" i="7"/>
  <c r="B14" i="10"/>
  <c r="I12" i="7"/>
  <c r="D13" i="17"/>
  <c r="H20" i="2"/>
  <c r="H30" i="2"/>
  <c r="H24" i="2"/>
  <c r="H19" i="2"/>
  <c r="H44" i="4" s="1"/>
  <c r="H25" i="2"/>
  <c r="H29" i="2"/>
  <c r="M32" i="16"/>
  <c r="N31" i="16"/>
  <c r="M31" i="16"/>
  <c r="M29" i="16"/>
  <c r="N28" i="16"/>
  <c r="M28" i="16"/>
  <c r="N26" i="16"/>
  <c r="M26" i="16"/>
  <c r="N25" i="16"/>
  <c r="M25" i="16"/>
  <c r="N32" i="16"/>
  <c r="I13" i="16"/>
  <c r="L16" i="7" l="1"/>
  <c r="H31" i="2"/>
  <c r="AA31" i="2" s="1"/>
  <c r="V37" i="4" s="1"/>
  <c r="H26" i="2"/>
  <c r="AA26" i="2" s="1"/>
  <c r="V27" i="4" s="1"/>
  <c r="H21" i="2"/>
  <c r="AA21" i="2" s="1"/>
  <c r="V18" i="4" s="1"/>
  <c r="D15" i="17"/>
  <c r="D25" i="17" s="1"/>
  <c r="C16" i="17"/>
  <c r="D16" i="17"/>
  <c r="N29" i="16"/>
  <c r="C15" i="17"/>
  <c r="C25" i="17" l="1"/>
  <c r="C28" i="17"/>
  <c r="B8" i="10" s="1"/>
  <c r="H108" i="4"/>
  <c r="J111" i="4" s="1"/>
  <c r="H100" i="4"/>
  <c r="K103" i="4" s="1"/>
  <c r="H93" i="4"/>
  <c r="B96" i="4" s="1"/>
  <c r="H52" i="4"/>
  <c r="J55" i="4" s="1"/>
  <c r="H68" i="4"/>
  <c r="M71" i="4" s="1"/>
  <c r="H53" i="4"/>
  <c r="P54" i="4" s="1"/>
  <c r="H61" i="4"/>
  <c r="P64" i="4" s="1"/>
  <c r="H109" i="4"/>
  <c r="B110" i="4" s="1" a="1"/>
  <c r="B110" i="4" s="1"/>
  <c r="H124" i="4"/>
  <c r="P127" i="4" s="1"/>
  <c r="H125" i="4"/>
  <c r="P126" i="4" s="1"/>
  <c r="H116" i="4"/>
  <c r="J119" i="4" s="1"/>
  <c r="H85" i="4"/>
  <c r="B86" i="4" s="1" a="1"/>
  <c r="B86" i="4" s="1"/>
  <c r="H92" i="4"/>
  <c r="P95" i="4" s="1"/>
  <c r="H132" i="4"/>
  <c r="N135" i="4" s="1"/>
  <c r="H117" i="4"/>
  <c r="P118" i="4" s="1"/>
  <c r="H84" i="4"/>
  <c r="M87" i="4" s="1"/>
  <c r="H60" i="4"/>
  <c r="P63" i="4" s="1"/>
  <c r="H76" i="4"/>
  <c r="N79" i="4" s="1"/>
  <c r="H133" i="4"/>
  <c r="O136" i="4" s="1"/>
  <c r="H101" i="4"/>
  <c r="B104" i="4" s="1"/>
  <c r="H77" i="4"/>
  <c r="B80" i="4" s="1"/>
  <c r="H69" i="4"/>
  <c r="B70" i="4" s="1" a="1"/>
  <c r="B70" i="4" s="1"/>
  <c r="D18" i="17"/>
  <c r="C18" i="17"/>
  <c r="C29" i="17" l="1"/>
  <c r="B9" i="10" s="1"/>
  <c r="P103" i="4"/>
  <c r="J103" i="4"/>
  <c r="P135" i="4"/>
  <c r="J135" i="4"/>
  <c r="I135" i="4"/>
  <c r="L135" i="4"/>
  <c r="P87" i="4"/>
  <c r="L55" i="4"/>
  <c r="K55" i="4"/>
  <c r="L103" i="4"/>
  <c r="M135" i="4"/>
  <c r="P55" i="4"/>
  <c r="N55" i="4"/>
  <c r="B120" i="4"/>
  <c r="B118" i="4" a="1"/>
  <c r="B118" i="4" s="1"/>
  <c r="N103" i="4"/>
  <c r="P120" i="4"/>
  <c r="M55" i="4"/>
  <c r="N87" i="4"/>
  <c r="B119" i="4"/>
  <c r="I55" i="4"/>
  <c r="K135" i="4"/>
  <c r="M103" i="4"/>
  <c r="K87" i="4"/>
  <c r="J87" i="4"/>
  <c r="O120" i="4"/>
  <c r="L87" i="4"/>
  <c r="P111" i="4"/>
  <c r="I95" i="4"/>
  <c r="M111" i="4"/>
  <c r="L111" i="4"/>
  <c r="J95" i="4"/>
  <c r="N95" i="4"/>
  <c r="B94" i="4" a="1"/>
  <c r="B94" i="4" s="1"/>
  <c r="N111" i="4"/>
  <c r="I111" i="4"/>
  <c r="P96" i="4"/>
  <c r="B95" i="4"/>
  <c r="O96" i="4"/>
  <c r="P94" i="4"/>
  <c r="L95" i="4"/>
  <c r="K111" i="4"/>
  <c r="K95" i="4"/>
  <c r="N71" i="4"/>
  <c r="K71" i="4"/>
  <c r="B56" i="4"/>
  <c r="J71" i="4"/>
  <c r="O56" i="4"/>
  <c r="I87" i="4"/>
  <c r="P56" i="4"/>
  <c r="I71" i="4"/>
  <c r="M95" i="4"/>
  <c r="P71" i="4"/>
  <c r="M119" i="4"/>
  <c r="N119" i="4"/>
  <c r="I119" i="4"/>
  <c r="L119" i="4"/>
  <c r="P119" i="4"/>
  <c r="I103" i="4"/>
  <c r="L63" i="4"/>
  <c r="J63" i="4"/>
  <c r="M63" i="4"/>
  <c r="K63" i="4"/>
  <c r="B87" i="4"/>
  <c r="B111" i="4"/>
  <c r="B55" i="4"/>
  <c r="P110" i="4"/>
  <c r="L71" i="4"/>
  <c r="M79" i="4"/>
  <c r="O88" i="4"/>
  <c r="B88" i="4"/>
  <c r="P86" i="4"/>
  <c r="I63" i="4"/>
  <c r="N63" i="4"/>
  <c r="P88" i="4"/>
  <c r="B54" i="4" a="1"/>
  <c r="B54" i="4" s="1"/>
  <c r="O112" i="4"/>
  <c r="B112" i="4"/>
  <c r="P70" i="4"/>
  <c r="B71" i="4"/>
  <c r="P134" i="4"/>
  <c r="B72" i="4"/>
  <c r="B134" i="4" a="1"/>
  <c r="B134" i="4" s="1"/>
  <c r="O72" i="4"/>
  <c r="K119" i="4"/>
  <c r="P136" i="4"/>
  <c r="P72" i="4"/>
  <c r="O80" i="4"/>
  <c r="P112" i="4"/>
  <c r="B136" i="4"/>
  <c r="M127" i="4"/>
  <c r="O64" i="4"/>
  <c r="L127" i="4"/>
  <c r="B102" i="4" a="1"/>
  <c r="B102" i="4" s="1"/>
  <c r="L79" i="4"/>
  <c r="B127" i="4"/>
  <c r="N127" i="4"/>
  <c r="B128" i="4"/>
  <c r="B126" i="4" a="1"/>
  <c r="B126" i="4" s="1"/>
  <c r="P62" i="4"/>
  <c r="P80" i="4"/>
  <c r="K127" i="4"/>
  <c r="O104" i="4"/>
  <c r="K79" i="4"/>
  <c r="P128" i="4"/>
  <c r="B64" i="4"/>
  <c r="B79" i="4"/>
  <c r="J127" i="4"/>
  <c r="P102" i="4"/>
  <c r="J79" i="4"/>
  <c r="B78" i="4" a="1"/>
  <c r="B78" i="4" s="1"/>
  <c r="I127" i="4"/>
  <c r="P104" i="4"/>
  <c r="I79" i="4"/>
  <c r="O128" i="4"/>
  <c r="B62" i="4" a="1"/>
  <c r="B62" i="4" s="1"/>
  <c r="B63" i="4"/>
  <c r="P78" i="4"/>
  <c r="B135" i="4"/>
  <c r="B103" i="4"/>
  <c r="P79" i="4"/>
  <c r="I11" i="7" l="1"/>
  <c r="F136" i="4"/>
  <c r="G54" i="4"/>
  <c r="F112" i="4"/>
  <c r="H103" i="4"/>
  <c r="F56" i="4"/>
  <c r="F88" i="4"/>
  <c r="H135" i="4"/>
  <c r="H55" i="4"/>
  <c r="H111" i="4"/>
  <c r="G134" i="4"/>
  <c r="G86" i="4"/>
  <c r="G110" i="4"/>
  <c r="G102" i="4"/>
  <c r="H87" i="4"/>
  <c r="H95" i="4"/>
  <c r="F72" i="4"/>
  <c r="F120" i="4"/>
  <c r="F96" i="4"/>
  <c r="G94" i="4"/>
  <c r="F104" i="4"/>
  <c r="F64" i="4"/>
  <c r="G70" i="4"/>
  <c r="H71" i="4"/>
  <c r="H63" i="4"/>
  <c r="G62" i="4"/>
  <c r="H119" i="4"/>
  <c r="G118" i="4"/>
  <c r="H79" i="4"/>
  <c r="H127" i="4"/>
  <c r="G126" i="4"/>
  <c r="G78" i="4"/>
  <c r="F80" i="4"/>
  <c r="F128" i="4"/>
  <c r="E3" i="10"/>
  <c r="AA36" i="2" l="1"/>
  <c r="Z36" i="2"/>
  <c r="Y36" i="2"/>
  <c r="H45" i="4" s="1"/>
  <c r="X36" i="2"/>
  <c r="P47" i="4" l="1"/>
  <c r="H27" i="4"/>
  <c r="B7" i="10" s="1"/>
  <c r="B46" i="4" a="1"/>
  <c r="B46" i="4" s="1"/>
  <c r="H18" i="4"/>
  <c r="B4" i="10" s="1"/>
  <c r="H37" i="4"/>
  <c r="B12" i="10" s="1"/>
  <c r="N7" i="9"/>
  <c r="J7" i="9"/>
  <c r="I7" i="9"/>
  <c r="B6" i="9"/>
  <c r="B7" i="9"/>
  <c r="P6" i="9"/>
  <c r="P7" i="9"/>
  <c r="H38" i="4" l="1"/>
  <c r="H28" i="4"/>
  <c r="J47" i="4"/>
  <c r="L47" i="4"/>
  <c r="M47" i="4"/>
  <c r="N47" i="4"/>
  <c r="I47" i="4"/>
  <c r="K47" i="4"/>
  <c r="B47" i="4"/>
  <c r="P46" i="4"/>
  <c r="P48" i="4"/>
  <c r="O48" i="4"/>
  <c r="B48" i="4"/>
  <c r="G6" i="9"/>
  <c r="H7" i="9"/>
  <c r="G46" i="4" l="1"/>
  <c r="H47" i="4"/>
  <c r="H32" i="4"/>
  <c r="H14" i="4"/>
  <c r="H23" i="4"/>
  <c r="F48" i="4"/>
  <c r="H13" i="4"/>
  <c r="H31" i="4"/>
  <c r="B2" i="10" l="1"/>
  <c r="B10" i="10"/>
  <c r="H33" i="4"/>
  <c r="H36" i="4" s="1"/>
  <c r="H22" i="4"/>
  <c r="H15" i="4"/>
  <c r="H17" i="4" s="1"/>
  <c r="H19" i="4" l="1"/>
  <c r="I8" i="7" s="1"/>
  <c r="B3" i="10"/>
  <c r="B5" i="10"/>
  <c r="I9" i="7"/>
  <c r="V36" i="4"/>
  <c r="B11" i="10"/>
  <c r="V17" i="4"/>
  <c r="H24" i="4"/>
  <c r="H26" i="4" s="1"/>
  <c r="B6" i="10" s="1"/>
  <c r="H34" i="4"/>
  <c r="I10" i="7" s="1"/>
  <c r="B13" i="10" l="1"/>
  <c r="V26" i="4"/>
  <c r="Y16" i="7" l="1"/>
  <c r="I16" i="7"/>
  <c r="B18" i="7" l="1"/>
  <c r="X22" i="7"/>
  <c r="X26" i="7"/>
  <c r="X25" i="7" s="1"/>
  <c r="Y25" i="7" s="1"/>
  <c r="I28" i="7" l="1"/>
  <c r="I30" i="7" s="1"/>
  <c r="L30" i="7" s="1"/>
  <c r="L28" i="7" l="1"/>
  <c r="K28" i="7"/>
</calcChain>
</file>

<file path=xl/metadata.xml><?xml version="1.0" encoding="utf-8"?>
<metadata xmlns="http://schemas.openxmlformats.org/spreadsheetml/2006/main">
  <metadataTypes count="1">
    <metadataType name="XLDAPR" minSupportedVersion="120000" copy="1" pasteAll="1" pasteValues="1" merge="1" splitFirst="1" rowColShift="1" clearFormats="1" clearComments="1" assign="1" coerce="1" cellMeta="1"/>
  </metadataTypes>
  <futureMetadata name="XLDAPR" count="1">
    <bk>
      <extLst>
        <ext xmlns:xda="http://schemas.microsoft.com/office/spreadsheetml/2017/dynamicarray" uri="{bdbb8cdc-fa1e-496e-a857-3c3f30c029c3}">
          <xda:dynamicArrayProperties fDynamic="1" fCollapsed="0"/>
        </ext>
      </extLst>
    </bk>
  </futureMetadata>
  <cellMetadata count="1">
    <bk>
      <rc t="1" v="0"/>
    </bk>
  </cellMetadata>
</metadata>
</file>

<file path=xl/sharedStrings.xml><?xml version="1.0" encoding="utf-8"?>
<sst xmlns="http://schemas.openxmlformats.org/spreadsheetml/2006/main" count="981" uniqueCount="254">
  <si>
    <t>Energiekostenzuschuss</t>
  </si>
  <si>
    <t>Version</t>
  </si>
  <si>
    <t>Bitte befüllen Sie ausschließlich die blau umrandeten Eingabefelder!</t>
  </si>
  <si>
    <t>Ihre firmeninterne Referenz</t>
  </si>
  <si>
    <t>i</t>
  </si>
  <si>
    <t>Firmenwortlaut, internes Aktenkennzeichen, o.ä.</t>
  </si>
  <si>
    <t>Zählpunkt</t>
  </si>
  <si>
    <t>Die Zählpunktnummer beginnt mit AT und kann der Abrechnung entnommen werden. Bitte geben Sie nur die letzten vier Stellen Ihrer Zählpunktnummer an.</t>
  </si>
  <si>
    <t>Lastprofilzähler oder genormtes intelligentes Messgerät verfügbar</t>
  </si>
  <si>
    <t>Ja</t>
  </si>
  <si>
    <t>Energieart</t>
  </si>
  <si>
    <t>Bitte geben Sie die jeweilige Energieart an.</t>
  </si>
  <si>
    <t>EUR</t>
  </si>
  <si>
    <t>kWh</t>
  </si>
  <si>
    <t>Nein</t>
  </si>
  <si>
    <t>Strom</t>
  </si>
  <si>
    <t>Summe der Nettorechnungsbeträge aller Zählpunkte</t>
  </si>
  <si>
    <t>Errechneter Durchschnittsarbeitspreis aller Zählpunkte</t>
  </si>
  <si>
    <t>Erdgas</t>
  </si>
  <si>
    <t>Schritt 2: Berechnung des Durchschnittsarbeitspreises im Förderungszeitraum und der Preissteigerung</t>
  </si>
  <si>
    <r>
      <t xml:space="preserve">Zählpunktnummer (die </t>
    </r>
    <r>
      <rPr>
        <b/>
        <sz val="11"/>
        <color rgb="FF000066"/>
        <rFont val="Trebuchet MS"/>
        <family val="2"/>
        <scheme val="minor"/>
      </rPr>
      <t>letzten</t>
    </r>
    <r>
      <rPr>
        <sz val="11"/>
        <color rgb="FF000066"/>
        <rFont val="Trebuchet MS"/>
        <family val="2"/>
        <scheme val="minor"/>
      </rPr>
      <t xml:space="preserve"> vier Stellen)</t>
    </r>
  </si>
  <si>
    <t>Bitte geben Sie nur die letzten vier Stellen Ihrer Zählpunktnummer an.</t>
  </si>
  <si>
    <t>Stromverbrauch aller Zählpunkte ohne Lastprofilzähler in kWh</t>
  </si>
  <si>
    <t>Der förderungsfähige Stromverbrauch ist für Zählpunkte ohne Lastprofilzähler mit 1.000.000 kWh begrenzt.</t>
  </si>
  <si>
    <t>Stromverbrauch aller Zählpunkte mit Lastprofilzähler in kWh</t>
  </si>
  <si>
    <t>Stromverbrauch aller Zählpunkte in kWh</t>
  </si>
  <si>
    <t>Errechneter Durchschnittsarbeitspreis im Förderungszeitraum</t>
  </si>
  <si>
    <t>Der Arbeitspreis bezeichnet die Kosten für die verbrauchten Kilowattstunden (kWh) Strom (exkl. Gebühren, Steuern, Abgaben, Netzentgelte).</t>
  </si>
  <si>
    <t xml:space="preserve"> - Errechneter Durchschnittsarbeitspreis im Vergleichszeitraum</t>
  </si>
  <si>
    <t xml:space="preserve"> = Preissteigerung des Durchschnittsarbeitspreises</t>
  </si>
  <si>
    <t>Erdgasverbrauch aller Zählpunkte ohne Lastprofilzähler in kWh</t>
  </si>
  <si>
    <t>Der förderungsfähige Erdgasverbrauch ist für Zählpunkte ohne Lastprofilzähler mit 1.000.000 kWh begrenzt.</t>
  </si>
  <si>
    <t>Erdgasverbrauch aller Zählpunkte mit Lastprofilzähler in kWh</t>
  </si>
  <si>
    <t>Erdgasverbrauch aller Zählpunkte in kWh</t>
  </si>
  <si>
    <t>Der Arbeitspreis bezeichnet die Kosten für die verbrauchten Kilowattstunden (kWh) Erdgas (exkl. Gebühren, Steuern, Abgaben, Netzentgelte).</t>
  </si>
  <si>
    <t>Benzin</t>
  </si>
  <si>
    <t>Diesel</t>
  </si>
  <si>
    <t>Ihr Zuschuss:</t>
  </si>
  <si>
    <t>Treibstoffe</t>
  </si>
  <si>
    <t>Ihr möglicher Gesamtzuschuss</t>
  </si>
  <si>
    <t>Field</t>
  </si>
  <si>
    <t>Value</t>
  </si>
  <si>
    <t>Validation</t>
  </si>
  <si>
    <t>AceStromverbrauchimfoerderzeitraum</t>
  </si>
  <si>
    <t>Berechnungsart</t>
  </si>
  <si>
    <t>AceDurchschnittspreisstromzeitraum</t>
  </si>
  <si>
    <t>Kontrollfeld</t>
  </si>
  <si>
    <t>AceDurchschnittspreisstromvergleich</t>
  </si>
  <si>
    <t>AceGasverbrauchzeitraum</t>
  </si>
  <si>
    <t>AceDurchschnittspreisgaszeitraum</t>
  </si>
  <si>
    <t>AceDurchschnittspreisgasvergleich</t>
  </si>
  <si>
    <t>AceTreibstoffverbrauchzeitraum</t>
  </si>
  <si>
    <t>AceDurchschnittspreistreibstoffezeitraum</t>
  </si>
  <si>
    <t>Wärme/Kälte</t>
  </si>
  <si>
    <t>Wärme-/Kälteverbrauch aller Zählpunkte ohne Lastprofilzähler in kWh</t>
  </si>
  <si>
    <t>Wärme-/Kälteverbrauch aller Zählpunkte mit Lastprofilzähler in kWh</t>
  </si>
  <si>
    <t>Wärme-/Kälteverbrauch aller Zählpunkte in kWh</t>
  </si>
  <si>
    <t>AceWaermeundkaelteverbrauchzeitraum</t>
  </si>
  <si>
    <t>AceDurchschnittspreiswkvergleich</t>
  </si>
  <si>
    <t>AceDurchschnittspreiswkzeitraum</t>
  </si>
  <si>
    <t>AceEnergiemixanteilstromerdgas</t>
  </si>
  <si>
    <t>Errechneter Durchschnitt des Energiemixes</t>
  </si>
  <si>
    <t>Förderungsfähiger Preis pro Liter für Treibstoffe in EUR</t>
  </si>
  <si>
    <t>Rechnungsnr.</t>
  </si>
  <si>
    <t>Rechnungsdatum</t>
  </si>
  <si>
    <t>Treibstoffart (Diesel/Benzin)</t>
  </si>
  <si>
    <t>Bruttobetrag in EUR</t>
  </si>
  <si>
    <t>Nettobetrag in EUR</t>
  </si>
  <si>
    <t>Menge in Liter</t>
  </si>
  <si>
    <t>Bruttopreis/Liter</t>
  </si>
  <si>
    <t>Darstellung/Aufbereitung der Treibstoffpreise</t>
  </si>
  <si>
    <t>Nicht vorsteuerabzugsberichtige Treibstoffkosten</t>
  </si>
  <si>
    <t xml:space="preserve">Treibstoffverbrauch im Förderzeitraum in Liter </t>
  </si>
  <si>
    <t>Der Treibstoffverbrauch im förderungsfähigen Zeitraum.</t>
  </si>
  <si>
    <t xml:space="preserve">Vorsteuerabzugsberichtigte Treibstoffkosten </t>
  </si>
  <si>
    <t>Gesamtverbrauch im Förderzeitraum in Liter</t>
  </si>
  <si>
    <t>Gesamtkosten (exkl. abzugsfähiger USt.) im Förderzeitraum in EUR</t>
  </si>
  <si>
    <t>Preis pro Liter (inkl. MöSt) im Förderungszeitraum in EUR</t>
  </si>
  <si>
    <t>Der Bruttopreis enthält die Mineralölsteuer und Umsatzsteuer und entspricht der Preisangabe an der Zapfsäule.</t>
  </si>
  <si>
    <t>Förderungsfähiger Preis/Liter (exkl. MöSt) 
im Förderungszeitraum in EUR</t>
  </si>
  <si>
    <t xml:space="preserve">Gesamt Treibstoffverbrauch in Liter </t>
  </si>
  <si>
    <t>Förderungsfähiger Durchschnittspreis für Treibstoffe wird für die Ermittlung der Zuschusshöhe herangezogen.</t>
  </si>
  <si>
    <t>%</t>
  </si>
  <si>
    <t>Schritt 3: Eintragung der Treibstoffrechnungen</t>
  </si>
  <si>
    <t>1.4.2</t>
  </si>
  <si>
    <t>JaNein</t>
  </si>
  <si>
    <t>Treibstoffart</t>
  </si>
  <si>
    <t>0000</t>
  </si>
  <si>
    <t>Jahr 1</t>
  </si>
  <si>
    <t>Jahr 2</t>
  </si>
  <si>
    <t>Förderzeitraum Start</t>
  </si>
  <si>
    <t>Förderzeitraum Ende</t>
  </si>
  <si>
    <t>Vergleichszeitraum Start</t>
  </si>
  <si>
    <t>Vergleichszeitraum Ende</t>
  </si>
  <si>
    <t>Treibstoffe Ust</t>
  </si>
  <si>
    <t>Strom max.</t>
  </si>
  <si>
    <t>Strom Zuschussquote</t>
  </si>
  <si>
    <t>Erdgas max.</t>
  </si>
  <si>
    <t>Erdgas Zuschussquote</t>
  </si>
  <si>
    <t>Wärme/Kälte max.</t>
  </si>
  <si>
    <t>Wärme/Kälte Zuschussquote</t>
  </si>
  <si>
    <t>Treibstoff Zuschussquote</t>
  </si>
  <si>
    <t xml:space="preserve">Zuschussberechnung gem. </t>
  </si>
  <si>
    <t>Monatsletzter</t>
  </si>
  <si>
    <t>nächster Erster</t>
  </si>
  <si>
    <t>nächster Letzter</t>
  </si>
  <si>
    <t>Tage</t>
  </si>
  <si>
    <t>Monate</t>
  </si>
  <si>
    <t>EZ-Stufe</t>
  </si>
  <si>
    <t>Basisstufe</t>
  </si>
  <si>
    <t>EZ-Grenze</t>
  </si>
  <si>
    <t>formatiert</t>
  </si>
  <si>
    <t>Text</t>
  </si>
  <si>
    <t>brutto</t>
  </si>
  <si>
    <t>Untergrenze</t>
  </si>
  <si>
    <t>Pauschalbetrag</t>
  </si>
  <si>
    <t>maximal</t>
  </si>
  <si>
    <t>Pauschale bis</t>
  </si>
  <si>
    <t>Holzpellets</t>
  </si>
  <si>
    <t>Hackschnitzel</t>
  </si>
  <si>
    <t>Heizöl</t>
  </si>
  <si>
    <t>Um die Preissteigerungen berechnen zu können, benötigen wir im ersten Schritt Angaben aus der letzten Jahresabrechnung Ihres Lieferanten oder aus Ihrem Lastprofilzähler (sofern bei Ihnen ein Lastprofilzähler installiert wurde).</t>
  </si>
  <si>
    <t>Energiekostenzuschuss - Heizöl/Holzpellets/Hackschnitzel</t>
  </si>
  <si>
    <t>Auswahl - 
JA/NEIN?</t>
  </si>
  <si>
    <t>Unternehmensangaben:</t>
  </si>
  <si>
    <t>Extra Leichtes
Heizöl</t>
  </si>
  <si>
    <t>JA</t>
  </si>
  <si>
    <t>Vorsteuerabzugsberechtigtes Unternehmen - JA/NEIN?</t>
  </si>
  <si>
    <t>Energieträger</t>
  </si>
  <si>
    <t>Durchschnittspreis EUR/Einheit</t>
  </si>
  <si>
    <t>Extra leichtes Heizöl</t>
  </si>
  <si>
    <t>Rechnungszeitraum</t>
  </si>
  <si>
    <t>bezogene Menge in Liter 
(Jan.-Jun. 2023)</t>
  </si>
  <si>
    <t>Nettopreis/
Liter</t>
  </si>
  <si>
    <t>MÖSt/Liter</t>
  </si>
  <si>
    <t>Nettopreis abzgl. MÖSt</t>
  </si>
  <si>
    <t>bezogene Menge in Tonnen
(Jan.-Jun. 2023)</t>
  </si>
  <si>
    <t>Nettopreis/
Tonne</t>
  </si>
  <si>
    <t>Bitte auswählen (JA/NEIN):</t>
  </si>
  <si>
    <t>Extra Leichtes Heizöl</t>
  </si>
  <si>
    <t>bezogene Menge in Liter 
(Jan.-Dez. 2021)</t>
  </si>
  <si>
    <t>bezogene Menge in Tonnen
(Jan.-Dez. 2021)</t>
  </si>
  <si>
    <t>Summe Netto-Rechnungsbeträge 
(Jan.-Dez. 2021)</t>
  </si>
  <si>
    <t>Menge</t>
  </si>
  <si>
    <t>Ermittlungsart:</t>
  </si>
  <si>
    <t>Bitte auswählen:</t>
  </si>
  <si>
    <t>Ø aus Inventurmethode</t>
  </si>
  <si>
    <t>Ø aus Einkäufen der letzten 3 Jahre</t>
  </si>
  <si>
    <t>vorletzte Inventur 
am: (Datum)</t>
  </si>
  <si>
    <t>letzte Inventur 
am: (Datum)</t>
  </si>
  <si>
    <t>Menge der Einkäufe im Zeitraum zwischen letzten beiden Inventuren:</t>
  </si>
  <si>
    <t>Jahres-Einkaufsmenge der letzten 3 Jahre in Liter bzw. Tonnen:</t>
  </si>
  <si>
    <t>Betrachtungszeitraum 
in Monaten:</t>
  </si>
  <si>
    <t>Ø-Monatsverbrauch
 in Lit. bzw. Tonnen</t>
  </si>
  <si>
    <t>Summe</t>
  </si>
  <si>
    <t>Heizölart</t>
  </si>
  <si>
    <t>MÖSt je l</t>
  </si>
  <si>
    <t>Details</t>
  </si>
  <si>
    <t>Methoden</t>
  </si>
  <si>
    <t>EL Heizöl (extra leicht)</t>
  </si>
  <si>
    <t>Schwefelgehalt &gt;10mg/kg</t>
  </si>
  <si>
    <t>anderes Heizöl</t>
  </si>
  <si>
    <t>Ø-Monatsverbrauch 
in l bzw. Tonnen</t>
  </si>
  <si>
    <t>Faktor VZ Hackschnitzel</t>
  </si>
  <si>
    <t>Pellets Ust</t>
  </si>
  <si>
    <t>Hackschnitzel Ust</t>
  </si>
  <si>
    <t>Faktor VZ Pellets</t>
  </si>
  <si>
    <t>P (VZ) 
Ø-Preis
Vergleichs-
zeitraum 
Jan.-Dez. 2021</t>
  </si>
  <si>
    <t>P (FZ) 
Ø-Preis
Förder-
zeitraum
Jan.-Jun. 2023</t>
  </si>
  <si>
    <t>Einheit</t>
  </si>
  <si>
    <t>AceHeizoelverbrauchzeitraum</t>
  </si>
  <si>
    <t>AceDurchschnittspreisheizoelzeitraum</t>
  </si>
  <si>
    <t>AceDurchschnittspreisheizoelvergleich</t>
  </si>
  <si>
    <t>AceHolzpelletsverbrauchzeitraum</t>
  </si>
  <si>
    <t>AceDurchschnittspreisholzpelletszeitraum</t>
  </si>
  <si>
    <t>AceDurchschnittspreisholzpelletsvergleich</t>
  </si>
  <si>
    <t>AceHackschnitzelverbrauchzeitraum</t>
  </si>
  <si>
    <t>AceDurchschnittspreishackschnitzelzeitraum</t>
  </si>
  <si>
    <t>AceDurchschnittspreishackschnitzelvergleich</t>
  </si>
  <si>
    <t>l</t>
  </si>
  <si>
    <t>t</t>
  </si>
  <si>
    <t>EBITDA Grenze Zuschuss</t>
  </si>
  <si>
    <t>M
Verbrauchs-
menge
Förder-
zeitraum
Jan.-Jun. 2023</t>
  </si>
  <si>
    <t>Vorsteuer</t>
  </si>
  <si>
    <t>EBITDA</t>
  </si>
  <si>
    <t>Betriebsverlustmethode</t>
  </si>
  <si>
    <t>EBITDA-Absenkungsmethode</t>
  </si>
  <si>
    <t>Korrektur</t>
  </si>
  <si>
    <t>EBITDA Absenkung</t>
  </si>
  <si>
    <t>EBITDA Grenzsatz</t>
  </si>
  <si>
    <t>EBITDA Zuschussdeckel Basis</t>
  </si>
  <si>
    <t>Ihr korrigierter Gesamtzuschuss</t>
  </si>
  <si>
    <t>Faktor VZ Heizöl</t>
  </si>
  <si>
    <t>Treibstoff Basis Preisanstieg</t>
  </si>
  <si>
    <t>Heizöl Ust</t>
  </si>
  <si>
    <t>Standard</t>
  </si>
  <si>
    <t>B0 Diesel</t>
  </si>
  <si>
    <t>E0 Benzin</t>
  </si>
  <si>
    <t>Diesel Standard</t>
  </si>
  <si>
    <t>Benzin Standard</t>
  </si>
  <si>
    <r>
      <rPr>
        <b/>
        <sz val="11"/>
        <color rgb="FF000066"/>
        <rFont val="Calibri"/>
        <family val="2"/>
      </rPr>
      <t>Mehrere Zählpunkte mit identem Tarif</t>
    </r>
    <r>
      <rPr>
        <sz val="11"/>
        <color rgb="FF000066"/>
        <rFont val="Calibri"/>
        <family val="2"/>
      </rPr>
      <t xml:space="preserve"> können mit einer fiktiven Zählpunktnummer zusammengefasst werden (beispielsweise 1111 für Strom und 2222 für Erdgas).</t>
    </r>
  </si>
  <si>
    <r>
      <t xml:space="preserve">Zählpunktnummer (nur die </t>
    </r>
    <r>
      <rPr>
        <b/>
        <sz val="11"/>
        <color rgb="FF000066"/>
        <rFont val="Calibri"/>
        <family val="2"/>
      </rPr>
      <t>letzten vier Stellen</t>
    </r>
    <r>
      <rPr>
        <sz val="11"/>
        <color rgb="FF000066"/>
        <rFont val="Calibri"/>
        <family val="2"/>
      </rPr>
      <t>)</t>
    </r>
  </si>
  <si>
    <t>Ü</t>
  </si>
  <si>
    <t>Der Arbeitspreis bezeichnet die Kosten für die verbrauchten Kilowattstunden (kWh) Wärme/Kälte (exkl. Gebühren, Steuern, Abgaben, Netzentgelte).</t>
  </si>
  <si>
    <r>
      <t xml:space="preserve">Zählpunktnummer (die </t>
    </r>
    <r>
      <rPr>
        <b/>
        <sz val="11"/>
        <color rgb="FF000066"/>
        <rFont val="Calibri"/>
        <family val="2"/>
      </rPr>
      <t>letzten</t>
    </r>
    <r>
      <rPr>
        <sz val="11"/>
        <color rgb="FF000066"/>
        <rFont val="Calibri"/>
        <family val="2"/>
      </rPr>
      <t xml:space="preserve"> vier Stellen)</t>
    </r>
  </si>
  <si>
    <t>Der errechnete Durchschnittspreis EUR/kWh im Förderzeitraum erscheint unplausibel hoch!</t>
  </si>
  <si>
    <t>Der errechnete Durchschnittspreis EUR/kWh im Vergleichszeitraum erscheint unplausibel hoch!</t>
  </si>
  <si>
    <t>Pkt. 9.1 bzw. Pkt. 9.4 der Richtlinie</t>
  </si>
  <si>
    <t xml:space="preserve"> Rechnungsaufstellung Treibstoffe</t>
  </si>
  <si>
    <t>Vorsteuerabzugsberechtigt 
(JA/NEIN)</t>
  </si>
  <si>
    <t>Treibstoffspezifikation
(Auswahl: Standard, 
B0 Diesel, E0 Benzin)</t>
  </si>
  <si>
    <t>Übersicht - Summe Treibstoffe</t>
  </si>
  <si>
    <t>Vorsteuer-Abzug</t>
  </si>
  <si>
    <t>Treibstoff-spezifikation</t>
  </si>
  <si>
    <t>Nettobetrag 
in EUR</t>
  </si>
  <si>
    <t>Der Preis wurde anhand des eingegebenen Bruttopreises, Umsatzsteuer (20%) und Möst (39,7ct für Diesel - 48,2ct für Benzin - 42,5ct für Diesel B0 - 51,5ct für Benzin E0) errechnet und ist der für die Förderung relevante Preis.</t>
  </si>
  <si>
    <t>1.2</t>
  </si>
  <si>
    <t>Möst Diesel Standard</t>
  </si>
  <si>
    <t>Möst Benzin Standard</t>
  </si>
  <si>
    <t>Möst Diesel B0</t>
  </si>
  <si>
    <t>Möst Benzin E0</t>
  </si>
  <si>
    <t>Die Umsatzsteuer beträgt 20 Prozent vom Bruttopreis.</t>
  </si>
  <si>
    <t xml:space="preserve">Die Mineralölsteuer ist ein fix vorgegebener Wert und ist nicht veränderbar.  Bei nicht vorsteuerabzugsberechtigten Kosten kann die auf die MöSt entfallende USt. nicht gefördert werden. </t>
  </si>
  <si>
    <t>Benzin Standard /Diesel Standard - Nicht VSt-abzugsberechtigt</t>
  </si>
  <si>
    <t>Benzin Standard /Diesel Standard  - VSt-abzugsberechtigt</t>
  </si>
  <si>
    <t>E0 Benzin/B0 Diesel - Nicht VSt-abzugsberechtigt</t>
  </si>
  <si>
    <t>E0 Benzin/B0 Diesel - VSt-abzugsberechtigt</t>
  </si>
  <si>
    <r>
      <t xml:space="preserve">Summe </t>
    </r>
    <r>
      <rPr>
        <b/>
        <u/>
        <sz val="10.5"/>
        <color rgb="FF000066"/>
        <rFont val="Calibri"/>
        <family val="2"/>
      </rPr>
      <t>Netto</t>
    </r>
    <r>
      <rPr>
        <b/>
        <sz val="10.5"/>
        <color rgb="FF000066"/>
        <rFont val="Calibri"/>
        <family val="2"/>
      </rPr>
      <t>-Rechnungsbeträge 
(Jan.-Jun. 2023)</t>
    </r>
  </si>
  <si>
    <r>
      <t xml:space="preserve">Summe </t>
    </r>
    <r>
      <rPr>
        <b/>
        <u/>
        <sz val="10.5"/>
        <color rgb="FF000066"/>
        <rFont val="Calibri"/>
        <family val="2"/>
      </rPr>
      <t>Netto</t>
    </r>
    <r>
      <rPr>
        <b/>
        <sz val="10.5"/>
        <color rgb="FF000066"/>
        <rFont val="Calibri"/>
        <family val="2"/>
      </rPr>
      <t>-Rechnungsbeträge 
(Jan.-Dez. 2021)</t>
    </r>
  </si>
  <si>
    <r>
      <rPr>
        <b/>
        <sz val="11"/>
        <color rgb="FF000066"/>
        <rFont val="Calibri"/>
        <family val="2"/>
      </rPr>
      <t>Lagerstand</t>
    </r>
    <r>
      <rPr>
        <sz val="11"/>
        <color rgb="FF000066"/>
        <rFont val="Calibri"/>
        <family val="2"/>
      </rPr>
      <t xml:space="preserve"> in l bzw t 
bei </t>
    </r>
    <r>
      <rPr>
        <b/>
        <sz val="11"/>
        <color rgb="FF000066"/>
        <rFont val="Calibri"/>
        <family val="2"/>
      </rPr>
      <t>vorletzter Inventur:</t>
    </r>
  </si>
  <si>
    <r>
      <rPr>
        <b/>
        <sz val="11"/>
        <color rgb="FF000066"/>
        <rFont val="Calibri"/>
        <family val="2"/>
      </rPr>
      <t>Lagerstand</t>
    </r>
    <r>
      <rPr>
        <sz val="11"/>
        <color rgb="FF000066"/>
        <rFont val="Calibri"/>
        <family val="2"/>
      </rPr>
      <t xml:space="preserve"> in l bzw. t bei </t>
    </r>
    <r>
      <rPr>
        <b/>
        <sz val="11"/>
        <color rgb="FF000066"/>
        <rFont val="Calibri"/>
        <family val="2"/>
      </rPr>
      <t>letzter Inventur:</t>
    </r>
  </si>
  <si>
    <r>
      <rPr>
        <b/>
        <sz val="11"/>
        <color rgb="FF000066"/>
        <rFont val="Calibri"/>
        <family val="2"/>
      </rPr>
      <t>Zeitraum in Monaten</t>
    </r>
    <r>
      <rPr>
        <sz val="11"/>
        <color rgb="FF000066"/>
        <rFont val="Calibri"/>
        <family val="2"/>
      </rPr>
      <t xml:space="preserve"> zwischen Inventuren:</t>
    </r>
  </si>
  <si>
    <t>Schritt 4: Heizöl/Holzpellets/Hackschnitzel - Berechnung der Durchschnittsarbeitspreise für Förderungszeitraum bzw. Vergleichszeitraum sowie der förderfähigen Menge</t>
  </si>
  <si>
    <t>Welche 
Energiearten 
werden beantragt:</t>
  </si>
  <si>
    <t>Es darf nur "NEIN" angegeben werden, sofern tatsächlich keine Rechnungen für den Vergleichszeitraum 2021 vorliegen!</t>
  </si>
  <si>
    <t>Durchschnittspreis Vergleichszeitraum P(VZ) ist auf Basis 
von Rechnungen für Jahr 2021 vorhanden?</t>
  </si>
  <si>
    <t>Förderzeitraum - P (FZ) :</t>
  </si>
  <si>
    <t>Vergleichszeitraum - P (VZ) :</t>
  </si>
  <si>
    <t xml:space="preserve"> a) Durchschnitt Ø aus Inventurmethode:</t>
  </si>
  <si>
    <t xml:space="preserve"> b) Durchschnitt Ø aus Einkäufen der letzten 3 Jahre:</t>
  </si>
  <si>
    <t>Schwefelgehalt ≤10mg/kg</t>
  </si>
  <si>
    <t>Heizöl/Hackschnitzel/Pellets Zuschussquote</t>
  </si>
  <si>
    <r>
      <rPr>
        <b/>
        <sz val="11"/>
        <color rgb="FF000066"/>
        <rFont val="Calibri"/>
        <family val="2"/>
      </rPr>
      <t>Anmerkung zu Betriebsverlustmethode:</t>
    </r>
    <r>
      <rPr>
        <sz val="11"/>
        <color rgb="FF000066"/>
        <rFont val="Calibri"/>
        <family val="2"/>
      </rPr>
      <t xml:space="preserve"> Bitte erfassen Sie das Ergebnis vor Zinsen, Steuern und Abschreibungen ohne einmalige Wertminderungen (EBITDA) der Periode. 
Der Betriebsverlust ist als negativer Betrag einzugeben (- Minusvorzeichen).</t>
    </r>
  </si>
  <si>
    <t>Bitte geben Sie den Betriebsverlust als negativen Betrag ein.</t>
  </si>
  <si>
    <r>
      <rPr>
        <b/>
        <sz val="12"/>
        <color rgb="FF000066"/>
        <rFont val="Arial Black"/>
        <family val="2"/>
        <scheme val="major"/>
      </rPr>
      <t>①</t>
    </r>
    <r>
      <rPr>
        <b/>
        <sz val="11.5"/>
        <color rgb="FF000066"/>
        <rFont val="Arial Black"/>
        <family val="2"/>
        <scheme val="major"/>
      </rPr>
      <t xml:space="preserve"> Angaben zu Antragstellung / Unternehmen:</t>
    </r>
  </si>
  <si>
    <r>
      <rPr>
        <b/>
        <sz val="12"/>
        <color rgb="FF000066"/>
        <rFont val="Arial Black"/>
        <family val="2"/>
        <scheme val="major"/>
      </rPr>
      <t>②</t>
    </r>
    <r>
      <rPr>
        <b/>
        <sz val="11.5"/>
        <color rgb="FF000066"/>
        <rFont val="Arial Black"/>
        <family val="2"/>
        <scheme val="major"/>
      </rPr>
      <t xml:space="preserve"> Durchschnittspreisermittlung</t>
    </r>
  </si>
  <si>
    <r>
      <rPr>
        <b/>
        <sz val="12"/>
        <color rgb="FF000066"/>
        <rFont val="Arial Black"/>
        <family val="2"/>
        <scheme val="major"/>
      </rPr>
      <t>③</t>
    </r>
    <r>
      <rPr>
        <b/>
        <sz val="11.5"/>
        <color rgb="FF000066"/>
        <rFont val="Arial Black"/>
        <family val="2"/>
        <scheme val="major"/>
      </rPr>
      <t xml:space="preserve"> förderfähige Menge (M)</t>
    </r>
  </si>
  <si>
    <t>Auswahl Berechnungsart:</t>
  </si>
  <si>
    <t>Im Zuge der Zuschussberechnung wird der Treibstoffverbrauch auf ganze Liter gerundet.</t>
  </si>
  <si>
    <t>NEIN</t>
  </si>
  <si>
    <r>
      <rPr>
        <b/>
        <sz val="11"/>
        <color rgb="FF000066"/>
        <rFont val="Calibri"/>
        <family val="2"/>
      </rPr>
      <t>Anmerkung zu EBITDA-Absenkungsmethode:</t>
    </r>
    <r>
      <rPr>
        <sz val="11"/>
        <color rgb="FF000066"/>
        <rFont val="Calibri"/>
        <family val="2"/>
      </rPr>
      <t xml:space="preserve"> Bitte erfassen Sie das Ergebnis vor Zinsen, Steuern und Abschreibungen ohne einmalige Wertminderungen (EBITDA) der jeweiligen Periode. </t>
    </r>
    <r>
      <rPr>
        <b/>
        <sz val="11"/>
        <color rgb="FF000066"/>
        <rFont val="Calibri"/>
        <family val="2"/>
      </rPr>
      <t>Das angegebene EBITDA muss positiv sein</t>
    </r>
    <r>
      <rPr>
        <sz val="11"/>
        <color rgb="FF000066"/>
        <rFont val="Calibri"/>
        <family val="2"/>
      </rPr>
      <t xml:space="preserve">. Bei der EBITDA-Absenkungsmethode ist der Gesamtzuschuss mit jener Höhe begrenzt, die dazu führen würde, dass das EBITDA der beantragten Förderungsperiode mehr als 70 % des EBITDAS derselben Periode des Jahres 2021 übersteigen würde. </t>
    </r>
  </si>
  <si>
    <t>förderfähiger Energiemixanteil in % (nur die direkt aus Strom, Erdgas, Heizöl, Holzpellets und Hackschnitzel erzeugte Wärme/Kälte ist förderungsfähig)</t>
  </si>
  <si>
    <r>
      <t>Treibstoffkosten (</t>
    </r>
    <r>
      <rPr>
        <b/>
        <sz val="11"/>
        <color rgb="FF000066"/>
        <rFont val="Calibri"/>
        <family val="2"/>
      </rPr>
      <t>brutto</t>
    </r>
    <r>
      <rPr>
        <sz val="11"/>
        <color rgb="FF000066"/>
        <rFont val="Calibri"/>
        <family val="2"/>
      </rPr>
      <t xml:space="preserve">) im Förderzeitraum in EUR </t>
    </r>
  </si>
  <si>
    <r>
      <t>Treibstoffkosten (</t>
    </r>
    <r>
      <rPr>
        <b/>
        <sz val="11"/>
        <color rgb="FF000066"/>
        <rFont val="Calibri"/>
        <family val="2"/>
      </rPr>
      <t>netto</t>
    </r>
    <r>
      <rPr>
        <sz val="11"/>
        <color rgb="FF000066"/>
        <rFont val="Calibri"/>
        <family val="2"/>
      </rPr>
      <t xml:space="preserve">) im Förderzeitraum in EUR </t>
    </r>
  </si>
</sst>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27">
    <numFmt numFmtId="42" formatCode="_-&quot;€&quot;\ * #,##0_-;\-&quot;€&quot;\ * #,##0_-;_-&quot;€&quot;\ * &quot;-&quot;_-;_-@_-"/>
    <numFmt numFmtId="41" formatCode="_-* #,##0_-;\-* #,##0_-;_-* &quot;-&quot;_-;_-@_-"/>
    <numFmt numFmtId="44" formatCode="_-&quot;€&quot;\ * #,##0.00_-;\-&quot;€&quot;\ * #,##0.00_-;_-&quot;€&quot;\ * &quot;-&quot;??_-;_-@_-"/>
    <numFmt numFmtId="43" formatCode="_-* #,##0.00_-;\-* #,##0.00_-;_-* &quot;-&quot;??_-;_-@_-"/>
    <numFmt numFmtId="164" formatCode="_-* #,##0_-;\-* #,##0_-;_-* &quot;-&quot;??_-;_-@_-"/>
    <numFmt numFmtId="165" formatCode="_-* #,##0.0000_-;\-* #,##0.0000_-;_-* &quot;-&quot;??_-;_-@_-"/>
    <numFmt numFmtId="166" formatCode="#,##0.000"/>
    <numFmt numFmtId="167" formatCode="#,##0.0000"/>
    <numFmt numFmtId="168" formatCode="0000"/>
    <numFmt numFmtId="169" formatCode="0.000"/>
    <numFmt numFmtId="170" formatCode="######"/>
    <numFmt numFmtId="171" formatCode="_-* #,##0.000_-;\-* #,##0.000_-;_-* &quot;-&quot;??_-;_-@_-"/>
    <numFmt numFmtId="172" formatCode="#"/>
    <numFmt numFmtId="173" formatCode="0.0000"/>
    <numFmt numFmtId="174" formatCode=";;;"/>
    <numFmt numFmtId="175" formatCode="#,##0\ &quot;kWh&quot;"/>
    <numFmt numFmtId="176" formatCode="0,,&quot; Mio&quot;"/>
    <numFmt numFmtId="177" formatCode="&quot;€&quot;\ #,##0.0000"/>
    <numFmt numFmtId="178" formatCode="#,##0.00\ &quot;L&quot;"/>
    <numFmt numFmtId="179" formatCode="_-&quot;€&quot;\ * #,##0.0000_-;\-&quot;€&quot;\ * #,##0.0000_-;_-&quot;€&quot;\ * &quot;-&quot;??_-;_-@_-"/>
    <numFmt numFmtId="180" formatCode="_-&quot;€&quot;\ * #,##0.0000_-;\-&quot;€&quot;\ * #,##0.0000_-;_-&quot;€&quot;\ * &quot;-&quot;????_-;_-@_-"/>
    <numFmt numFmtId="181" formatCode="#,##0.0000\ &quot;t&quot;"/>
    <numFmt numFmtId="182" formatCode="0.0"/>
    <numFmt numFmtId="183" formatCode="#,##0.00\ &quot;t&quot;"/>
    <numFmt numFmtId="184" formatCode="#,##0.00\ &quot;l&quot;"/>
    <numFmt numFmtId="185" formatCode="_-&quot;€&quot;\ * #,##0_-;\-&quot;€&quot;\ * #,##0_-;_-&quot;€&quot;\ * &quot;-&quot;??_-;_-@_-"/>
    <numFmt numFmtId="186" formatCode="#,##0.000\ &quot;€&quot;;\-#,##0.000\ &quot;€&quot;"/>
  </numFmts>
  <fonts count="66" x14ac:knownFonts="1">
    <font>
      <sz val="11"/>
      <color theme="1"/>
      <name val="Calibri"/>
      <family val="2"/>
    </font>
    <font>
      <sz val="11"/>
      <color theme="1"/>
      <name val="Calibri"/>
      <family val="2"/>
    </font>
    <font>
      <sz val="11"/>
      <color rgb="FF000066"/>
      <name val="Arial Black"/>
      <family val="2"/>
    </font>
    <font>
      <sz val="11"/>
      <color rgb="FF000066"/>
      <name val="Trebuchet MS"/>
      <family val="2"/>
      <scheme val="minor"/>
    </font>
    <font>
      <b/>
      <sz val="11"/>
      <color rgb="FF000066"/>
      <name val="Arial Black"/>
      <family val="2"/>
    </font>
    <font>
      <sz val="11"/>
      <color rgb="FF000066"/>
      <name val="Webdings"/>
      <family val="1"/>
      <charset val="2"/>
    </font>
    <font>
      <b/>
      <sz val="10"/>
      <color rgb="FF000066"/>
      <name val="Arial Black"/>
      <family val="2"/>
    </font>
    <font>
      <sz val="14"/>
      <color rgb="FF00B0F0"/>
      <name val="Trebuchet MS"/>
      <family val="2"/>
      <scheme val="minor"/>
    </font>
    <font>
      <sz val="18"/>
      <color rgb="FF000066"/>
      <name val="Arial Black"/>
      <family val="2"/>
    </font>
    <font>
      <sz val="11"/>
      <color theme="3" tint="0.79998168889431442"/>
      <name val="Trebuchet MS"/>
      <family val="2"/>
      <scheme val="minor"/>
    </font>
    <font>
      <sz val="11"/>
      <color theme="4" tint="0.79998168889431442"/>
      <name val="Trebuchet MS"/>
      <family val="2"/>
      <scheme val="minor"/>
    </font>
    <font>
      <b/>
      <sz val="11"/>
      <color rgb="FF000066"/>
      <name val="Trebuchet MS"/>
      <family val="2"/>
      <scheme val="minor"/>
    </font>
    <font>
      <sz val="11"/>
      <color rgb="FF002060"/>
      <name val="Trebuchet MS"/>
      <family val="2"/>
      <scheme val="minor"/>
    </font>
    <font>
      <b/>
      <sz val="10"/>
      <color rgb="FF002060"/>
      <name val="Arial Black"/>
      <family val="2"/>
    </font>
    <font>
      <sz val="11"/>
      <color rgb="FFFF0000"/>
      <name val="Trebuchet MS"/>
      <family val="2"/>
      <scheme val="minor"/>
    </font>
    <font>
      <sz val="11"/>
      <color theme="0" tint="-0.249977111117893"/>
      <name val="Trebuchet MS"/>
      <family val="2"/>
      <scheme val="minor"/>
    </font>
    <font>
      <sz val="11"/>
      <color rgb="FFD9E1F2"/>
      <name val="Trebuchet MS"/>
      <family val="2"/>
      <scheme val="minor"/>
    </font>
    <font>
      <sz val="11"/>
      <color theme="1"/>
      <name val="Calibri"/>
      <family val="2"/>
    </font>
    <font>
      <sz val="11"/>
      <color theme="1"/>
      <name val="Calibri"/>
      <family val="2"/>
    </font>
    <font>
      <sz val="11"/>
      <color theme="2"/>
      <name val="Trebuchet MS"/>
      <family val="2"/>
      <scheme val="minor"/>
    </font>
    <font>
      <b/>
      <sz val="11"/>
      <color rgb="FF000066"/>
      <name val="Arial Black"/>
      <family val="2"/>
      <scheme val="major"/>
    </font>
    <font>
      <sz val="18"/>
      <color rgb="FF000066"/>
      <name val="Arial Black"/>
      <family val="2"/>
      <scheme val="major"/>
    </font>
    <font>
      <sz val="10.5"/>
      <color rgb="FF000066"/>
      <name val="Trebuchet MS"/>
      <family val="2"/>
      <scheme val="minor"/>
    </font>
    <font>
      <b/>
      <sz val="11"/>
      <color rgb="FF000066"/>
      <name val="Calibri"/>
      <family val="2"/>
    </font>
    <font>
      <sz val="9"/>
      <color theme="1"/>
      <name val="Trebuchet MS"/>
      <family val="2"/>
      <scheme val="minor"/>
    </font>
    <font>
      <u/>
      <sz val="11"/>
      <color rgb="FF000066"/>
      <name val="Calibri"/>
      <family val="2"/>
    </font>
    <font>
      <sz val="11"/>
      <color rgb="FF000066"/>
      <name val="Calibri"/>
      <family val="2"/>
    </font>
    <font>
      <sz val="11"/>
      <color rgb="FFFF0000"/>
      <name val="Calibri"/>
      <family val="2"/>
    </font>
    <font>
      <sz val="11"/>
      <color theme="0" tint="-0.249977111117893"/>
      <name val="Calibri"/>
      <family val="2"/>
    </font>
    <font>
      <sz val="11"/>
      <color rgb="FFD9E1F2"/>
      <name val="Calibri"/>
      <family val="2"/>
    </font>
    <font>
      <b/>
      <sz val="10"/>
      <color rgb="FF000066"/>
      <name val="Calibri"/>
      <family val="2"/>
    </font>
    <font>
      <sz val="11"/>
      <color rgb="FF002060"/>
      <name val="Calibri"/>
      <family val="2"/>
    </font>
    <font>
      <sz val="11"/>
      <color theme="0"/>
      <name val="Calibri"/>
      <family val="2"/>
    </font>
    <font>
      <sz val="11"/>
      <color theme="4" tint="0.79998168889431442"/>
      <name val="Calibri"/>
      <family val="2"/>
    </font>
    <font>
      <b/>
      <sz val="10"/>
      <color rgb="FF000066"/>
      <name val="Arial Black"/>
      <family val="2"/>
      <scheme val="major"/>
    </font>
    <font>
      <sz val="11"/>
      <color rgb="FF7692D0"/>
      <name val="Calibri"/>
      <family val="2"/>
    </font>
    <font>
      <sz val="11"/>
      <color rgb="FFD9E1F2"/>
      <name val="Wingdings"/>
      <charset val="2"/>
    </font>
    <font>
      <b/>
      <sz val="11"/>
      <color rgb="FFD9E1F2"/>
      <name val="Calibri"/>
      <family val="2"/>
    </font>
    <font>
      <i/>
      <sz val="11"/>
      <color rgb="FF7F7F7F"/>
      <name val="Calibri"/>
      <family val="2"/>
    </font>
    <font>
      <i/>
      <sz val="11"/>
      <color rgb="FF7692D0"/>
      <name val="Calibri"/>
      <family val="2"/>
    </font>
    <font>
      <b/>
      <sz val="11"/>
      <color theme="1"/>
      <name val="Calibri"/>
      <family val="2"/>
    </font>
    <font>
      <i/>
      <sz val="11"/>
      <color rgb="FF000066"/>
      <name val="Calibri"/>
      <family val="2"/>
    </font>
    <font>
      <sz val="11"/>
      <color theme="1"/>
      <name val="Webdings"/>
      <family val="1"/>
      <charset val="2"/>
    </font>
    <font>
      <sz val="11"/>
      <color theme="0" tint="-0.14999847407452621"/>
      <name val="Calibri"/>
      <family val="2"/>
    </font>
    <font>
      <sz val="18"/>
      <color rgb="FF000066"/>
      <name val="Calibri"/>
      <family val="2"/>
    </font>
    <font>
      <b/>
      <sz val="14"/>
      <color rgb="FF000066"/>
      <name val="Calibri"/>
      <family val="2"/>
    </font>
    <font>
      <b/>
      <sz val="12"/>
      <color rgb="FF000066"/>
      <name val="Calibri"/>
      <family val="2"/>
    </font>
    <font>
      <b/>
      <sz val="10.5"/>
      <color rgb="FF000066"/>
      <name val="Calibri"/>
      <family val="2"/>
    </font>
    <font>
      <b/>
      <u/>
      <sz val="10.5"/>
      <color rgb="FF000066"/>
      <name val="Calibri"/>
      <family val="2"/>
    </font>
    <font>
      <sz val="10.5"/>
      <color rgb="FF000066"/>
      <name val="Calibri"/>
      <family val="2"/>
    </font>
    <font>
      <sz val="10.5"/>
      <color theme="1"/>
      <name val="Calibri"/>
      <family val="2"/>
    </font>
    <font>
      <sz val="10"/>
      <color rgb="FF000066"/>
      <name val="Calibri"/>
      <family val="2"/>
    </font>
    <font>
      <b/>
      <u/>
      <sz val="12"/>
      <color rgb="FF000066"/>
      <name val="Calibri"/>
      <family val="2"/>
    </font>
    <font>
      <b/>
      <u/>
      <sz val="12"/>
      <color theme="1"/>
      <name val="Calibri"/>
      <family val="2"/>
    </font>
    <font>
      <u/>
      <sz val="11"/>
      <color theme="1"/>
      <name val="Calibri"/>
      <family val="2"/>
    </font>
    <font>
      <sz val="12"/>
      <color rgb="FF00B0F0"/>
      <name val="Trebuchet MS"/>
      <family val="2"/>
      <scheme val="minor"/>
    </font>
    <font>
      <b/>
      <sz val="11.5"/>
      <color rgb="FF000066"/>
      <name val="Calibri"/>
      <family val="2"/>
    </font>
    <font>
      <b/>
      <sz val="10.5"/>
      <color rgb="FF000066"/>
      <name val="Arial Black"/>
      <family val="2"/>
      <scheme val="major"/>
    </font>
    <font>
      <b/>
      <sz val="10.55"/>
      <color rgb="FF000066"/>
      <name val="Arial Black"/>
      <family val="2"/>
      <scheme val="major"/>
    </font>
    <font>
      <b/>
      <sz val="11.5"/>
      <color rgb="FF000066"/>
      <name val="Arial Black"/>
      <family val="2"/>
      <scheme val="major"/>
    </font>
    <font>
      <b/>
      <u/>
      <sz val="10.5"/>
      <color rgb="FF000066"/>
      <name val="Arial Black"/>
      <family val="2"/>
      <scheme val="major"/>
    </font>
    <font>
      <b/>
      <sz val="11"/>
      <color rgb="FFC00000"/>
      <name val="Calibri"/>
      <family val="2"/>
    </font>
    <font>
      <b/>
      <sz val="11"/>
      <color rgb="FFD9E1F2"/>
      <name val="Arial Black"/>
      <family val="2"/>
    </font>
    <font>
      <b/>
      <sz val="12"/>
      <color rgb="FF000066"/>
      <name val="Arial Black"/>
      <family val="2"/>
      <scheme val="major"/>
    </font>
    <font>
      <b/>
      <sz val="11"/>
      <color rgb="FFFA7D00"/>
      <name val="Calibri"/>
      <family val="2"/>
    </font>
    <font>
      <sz val="11"/>
      <color theme="4"/>
      <name val="Calibri"/>
      <family val="2"/>
    </font>
  </fonts>
  <fills count="13">
    <fill>
      <patternFill patternType="none"/>
    </fill>
    <fill>
      <patternFill patternType="gray125"/>
    </fill>
    <fill>
      <patternFill patternType="solid">
        <fgColor theme="4" tint="0.79998168889431442"/>
        <bgColor indexed="64"/>
      </patternFill>
    </fill>
    <fill>
      <patternFill patternType="solid">
        <fgColor theme="0"/>
        <bgColor indexed="64"/>
      </patternFill>
    </fill>
    <fill>
      <patternFill patternType="solid">
        <fgColor rgb="FFD9E1F2"/>
        <bgColor indexed="64"/>
      </patternFill>
    </fill>
    <fill>
      <patternFill patternType="solid">
        <fgColor rgb="FFFFCC99"/>
      </patternFill>
    </fill>
    <fill>
      <patternFill patternType="solid">
        <fgColor theme="6" tint="0.59999389629810485"/>
        <bgColor indexed="64"/>
      </patternFill>
    </fill>
    <fill>
      <patternFill patternType="solid">
        <fgColor theme="7" tint="0.59999389629810485"/>
        <bgColor indexed="64"/>
      </patternFill>
    </fill>
    <fill>
      <patternFill patternType="solid">
        <fgColor theme="9" tint="0.79998168889431442"/>
        <bgColor indexed="64"/>
      </patternFill>
    </fill>
    <fill>
      <patternFill patternType="solid">
        <fgColor theme="8" tint="0.39997558519241921"/>
        <bgColor indexed="64"/>
      </patternFill>
    </fill>
    <fill>
      <patternFill patternType="solid">
        <fgColor theme="0" tint="-0.14999847407452621"/>
        <bgColor indexed="64"/>
      </patternFill>
    </fill>
    <fill>
      <patternFill patternType="solid">
        <fgColor rgb="FFE1F4FF"/>
        <bgColor indexed="64"/>
      </patternFill>
    </fill>
    <fill>
      <patternFill patternType="solid">
        <fgColor rgb="FFF2F2F2"/>
      </patternFill>
    </fill>
  </fills>
  <borders count="50">
    <border>
      <left/>
      <right/>
      <top/>
      <bottom/>
      <diagonal/>
    </border>
    <border>
      <left style="medium">
        <color rgb="FF00B0F0"/>
      </left>
      <right style="medium">
        <color rgb="FF00B0F0"/>
      </right>
      <top style="medium">
        <color rgb="FF00B0F0"/>
      </top>
      <bottom style="medium">
        <color rgb="FF00B0F0"/>
      </bottom>
      <diagonal/>
    </border>
    <border>
      <left/>
      <right/>
      <top/>
      <bottom style="medium">
        <color rgb="FF002060"/>
      </bottom>
      <diagonal/>
    </border>
    <border>
      <left style="medium">
        <color rgb="FF00B0F0"/>
      </left>
      <right style="dotted">
        <color rgb="FF00B0F0"/>
      </right>
      <top/>
      <bottom/>
      <diagonal/>
    </border>
    <border>
      <left style="dotted">
        <color rgb="FF00B0F0"/>
      </left>
      <right style="dotted">
        <color rgb="FF00B0F0"/>
      </right>
      <top/>
      <bottom/>
      <diagonal/>
    </border>
    <border>
      <left style="medium">
        <color rgb="FF00B0F0"/>
      </left>
      <right style="dotted">
        <color rgb="FF00B0F0"/>
      </right>
      <top/>
      <bottom style="medium">
        <color rgb="FF00B0F0"/>
      </bottom>
      <diagonal/>
    </border>
    <border>
      <left style="dotted">
        <color rgb="FF00B0F0"/>
      </left>
      <right style="dotted">
        <color rgb="FF00B0F0"/>
      </right>
      <top/>
      <bottom style="medium">
        <color rgb="FF00B0F0"/>
      </bottom>
      <diagonal/>
    </border>
    <border>
      <left style="medium">
        <color rgb="FF00B0F0"/>
      </left>
      <right/>
      <top style="medium">
        <color rgb="FF00B0F0"/>
      </top>
      <bottom style="medium">
        <color rgb="FF00B0F0"/>
      </bottom>
      <diagonal/>
    </border>
    <border>
      <left/>
      <right/>
      <top style="medium">
        <color rgb="FF00B0F0"/>
      </top>
      <bottom style="medium">
        <color rgb="FF00B0F0"/>
      </bottom>
      <diagonal/>
    </border>
    <border>
      <left/>
      <right style="medium">
        <color rgb="FF00B0F0"/>
      </right>
      <top style="medium">
        <color rgb="FF00B0F0"/>
      </top>
      <bottom style="medium">
        <color rgb="FF00B0F0"/>
      </bottom>
      <diagonal/>
    </border>
    <border>
      <left/>
      <right/>
      <top style="medium">
        <color rgb="FF00B0F0"/>
      </top>
      <bottom/>
      <diagonal/>
    </border>
    <border>
      <left/>
      <right/>
      <top/>
      <bottom style="medium">
        <color auto="1"/>
      </bottom>
      <diagonal/>
    </border>
    <border>
      <left style="thin">
        <color rgb="FF00B0F0"/>
      </left>
      <right style="thin">
        <color rgb="FF00B0F0"/>
      </right>
      <top style="thin">
        <color rgb="FF00B0F0"/>
      </top>
      <bottom style="thin">
        <color rgb="FF00B0F0"/>
      </bottom>
      <diagonal/>
    </border>
    <border>
      <left style="thin">
        <color rgb="FF7F7F7F"/>
      </left>
      <right style="thin">
        <color rgb="FF7F7F7F"/>
      </right>
      <top style="thin">
        <color rgb="FF7F7F7F"/>
      </top>
      <bottom style="thin">
        <color rgb="FF7F7F7F"/>
      </bottom>
      <diagonal/>
    </border>
    <border>
      <left style="thick">
        <color theme="5"/>
      </left>
      <right style="thick">
        <color theme="5"/>
      </right>
      <top style="thick">
        <color theme="5"/>
      </top>
      <bottom style="thick">
        <color theme="5"/>
      </bottom>
      <diagonal/>
    </border>
    <border>
      <left style="thick">
        <color rgb="FF00B0F0"/>
      </left>
      <right style="thick">
        <color rgb="FF00B0F0"/>
      </right>
      <top style="thick">
        <color rgb="FF00B0F0"/>
      </top>
      <bottom style="thick">
        <color rgb="FF00B0F0"/>
      </bottom>
      <diagonal/>
    </border>
    <border>
      <left style="thin">
        <color theme="1"/>
      </left>
      <right style="thin">
        <color theme="1"/>
      </right>
      <top style="thin">
        <color theme="1"/>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right/>
      <top style="thin">
        <color indexed="64"/>
      </top>
      <bottom style="thin">
        <color indexed="64"/>
      </bottom>
      <diagonal/>
    </border>
    <border>
      <left style="thin">
        <color indexed="64"/>
      </left>
      <right/>
      <top/>
      <bottom/>
      <diagonal/>
    </border>
    <border>
      <left style="thin">
        <color indexed="64"/>
      </left>
      <right style="thin">
        <color indexed="64"/>
      </right>
      <top/>
      <bottom style="thin">
        <color indexed="64"/>
      </bottom>
      <diagonal/>
    </border>
    <border>
      <left style="medium">
        <color indexed="64"/>
      </left>
      <right/>
      <top style="medium">
        <color indexed="64"/>
      </top>
      <bottom style="thin">
        <color indexed="64"/>
      </bottom>
      <diagonal/>
    </border>
    <border>
      <left/>
      <right style="thin">
        <color indexed="64"/>
      </right>
      <top style="medium">
        <color indexed="64"/>
      </top>
      <bottom style="thin">
        <color indexed="64"/>
      </bottom>
      <diagonal/>
    </border>
    <border>
      <left style="medium">
        <color indexed="64"/>
      </left>
      <right/>
      <top style="thin">
        <color indexed="64"/>
      </top>
      <bottom style="thin">
        <color indexed="64"/>
      </bottom>
      <diagonal/>
    </border>
    <border>
      <left style="medium">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thin">
        <color indexed="64"/>
      </right>
      <top/>
      <bottom/>
      <diagonal/>
    </border>
    <border>
      <left style="thin">
        <color indexed="64"/>
      </left>
      <right/>
      <top style="medium">
        <color indexed="64"/>
      </top>
      <bottom style="thin">
        <color indexed="64"/>
      </bottom>
      <diagonal/>
    </border>
    <border>
      <left style="thin">
        <color indexed="64"/>
      </left>
      <right/>
      <top style="thin">
        <color indexed="64"/>
      </top>
      <bottom style="medium">
        <color indexed="64"/>
      </bottom>
      <diagonal/>
    </border>
    <border>
      <left style="dotted">
        <color rgb="FF00B0F0"/>
      </left>
      <right style="dotted">
        <color rgb="FF00B0F0"/>
      </right>
      <top style="dotted">
        <color rgb="FF00B0F0"/>
      </top>
      <bottom/>
      <diagonal/>
    </border>
    <border>
      <left style="thin">
        <color rgb="FF00B0F0"/>
      </left>
      <right/>
      <top style="thin">
        <color rgb="FF00B0F0"/>
      </top>
      <bottom style="thin">
        <color rgb="FF00B0F0"/>
      </bottom>
      <diagonal/>
    </border>
    <border>
      <left/>
      <right style="thin">
        <color rgb="FF00B0F0"/>
      </right>
      <top style="thin">
        <color rgb="FF00B0F0"/>
      </top>
      <bottom style="thin">
        <color rgb="FF00B0F0"/>
      </bottom>
      <diagonal/>
    </border>
    <border>
      <left style="hair">
        <color auto="1"/>
      </left>
      <right/>
      <top style="hair">
        <color auto="1"/>
      </top>
      <bottom/>
      <diagonal/>
    </border>
    <border>
      <left/>
      <right/>
      <top style="hair">
        <color auto="1"/>
      </top>
      <bottom/>
      <diagonal/>
    </border>
    <border>
      <left/>
      <right style="hair">
        <color auto="1"/>
      </right>
      <top style="hair">
        <color auto="1"/>
      </top>
      <bottom/>
      <diagonal/>
    </border>
    <border>
      <left style="hair">
        <color auto="1"/>
      </left>
      <right/>
      <top/>
      <bottom style="hair">
        <color auto="1"/>
      </bottom>
      <diagonal/>
    </border>
    <border>
      <left/>
      <right/>
      <top/>
      <bottom style="hair">
        <color auto="1"/>
      </bottom>
      <diagonal/>
    </border>
    <border>
      <left/>
      <right style="hair">
        <color auto="1"/>
      </right>
      <top/>
      <bottom style="hair">
        <color auto="1"/>
      </bottom>
      <diagonal/>
    </border>
    <border>
      <left/>
      <right style="medium">
        <color rgb="FF00B0F0"/>
      </right>
      <top style="thin">
        <color indexed="64"/>
      </top>
      <bottom style="thin">
        <color indexed="64"/>
      </bottom>
      <diagonal/>
    </border>
    <border>
      <left/>
      <right style="medium">
        <color rgb="FF00B0F0"/>
      </right>
      <top/>
      <bottom/>
      <diagonal/>
    </border>
  </borders>
  <cellStyleXfs count="10">
    <xf numFmtId="0" fontId="0" fillId="0" borderId="0"/>
    <xf numFmtId="43" fontId="1" fillId="0" borderId="0" applyFill="0" applyBorder="0" applyAlignment="0" applyProtection="0"/>
    <xf numFmtId="9" fontId="1" fillId="0" borderId="0" applyFill="0" applyBorder="0" applyAlignment="0" applyProtection="0"/>
    <xf numFmtId="44" fontId="1" fillId="0" borderId="0" applyFill="0" applyBorder="0" applyAlignment="0" applyProtection="0"/>
    <xf numFmtId="0" fontId="64" fillId="12" borderId="13" applyNumberFormat="0" applyAlignment="0" applyProtection="0"/>
    <xf numFmtId="0" fontId="38" fillId="0" borderId="0" applyNumberFormat="0" applyFill="0" applyBorder="0" applyAlignment="0" applyProtection="0"/>
    <xf numFmtId="0" fontId="26" fillId="5" borderId="15" applyNumberFormat="0" applyFill="0" applyAlignment="0">
      <protection locked="0"/>
    </xf>
    <xf numFmtId="0" fontId="65" fillId="5" borderId="14" applyNumberFormat="0" applyFill="0" applyAlignment="0">
      <protection locked="0"/>
    </xf>
    <xf numFmtId="41" fontId="1" fillId="0" borderId="0" applyFill="0" applyBorder="0" applyAlignment="0" applyProtection="0"/>
    <xf numFmtId="42" fontId="1" fillId="0" borderId="0" applyFill="0" applyBorder="0" applyAlignment="0" applyProtection="0"/>
  </cellStyleXfs>
  <cellXfs count="434">
    <xf numFmtId="0" fontId="0" fillId="0" borderId="0" xfId="0"/>
    <xf numFmtId="0" fontId="3" fillId="0" borderId="0" xfId="0" applyFont="1"/>
    <xf numFmtId="0" fontId="4" fillId="2" borderId="0" xfId="0" applyFont="1" applyFill="1"/>
    <xf numFmtId="0" fontId="3" fillId="2" borderId="0" xfId="0" applyFont="1" applyFill="1"/>
    <xf numFmtId="0" fontId="5" fillId="2" borderId="0" xfId="0" applyFont="1" applyFill="1" applyAlignment="1">
      <alignment horizontal="right"/>
    </xf>
    <xf numFmtId="166" fontId="3" fillId="2" borderId="0" xfId="0" applyNumberFormat="1" applyFont="1" applyFill="1"/>
    <xf numFmtId="164" fontId="6" fillId="2" borderId="0" xfId="1" applyNumberFormat="1" applyFont="1" applyFill="1" applyBorder="1"/>
    <xf numFmtId="0" fontId="6" fillId="2" borderId="0" xfId="0" applyFont="1" applyFill="1" applyAlignment="1">
      <alignment horizontal="left"/>
    </xf>
    <xf numFmtId="0" fontId="3" fillId="2" borderId="0" xfId="0" applyFont="1" applyFill="1" applyAlignment="1">
      <alignment horizontal="right"/>
    </xf>
    <xf numFmtId="0" fontId="9" fillId="2" borderId="0" xfId="0" applyFont="1" applyFill="1"/>
    <xf numFmtId="9" fontId="10" fillId="2" borderId="0" xfId="2" applyFont="1" applyFill="1" applyBorder="1" applyAlignment="1"/>
    <xf numFmtId="0" fontId="0" fillId="2" borderId="0" xfId="0" applyFill="1"/>
    <xf numFmtId="0" fontId="10" fillId="2" borderId="0" xfId="0" applyFont="1" applyFill="1"/>
    <xf numFmtId="166" fontId="10" fillId="2" borderId="0" xfId="0" applyNumberFormat="1" applyFont="1" applyFill="1"/>
    <xf numFmtId="17" fontId="3" fillId="2" borderId="3" xfId="0" applyNumberFormat="1" applyFont="1" applyFill="1" applyBorder="1"/>
    <xf numFmtId="17" fontId="3" fillId="2" borderId="4" xfId="0" applyNumberFormat="1" applyFont="1" applyFill="1" applyBorder="1"/>
    <xf numFmtId="17" fontId="3" fillId="2" borderId="5" xfId="0" applyNumberFormat="1" applyFont="1" applyFill="1" applyBorder="1"/>
    <xf numFmtId="17" fontId="3" fillId="2" borderId="6" xfId="0" applyNumberFormat="1" applyFont="1" applyFill="1" applyBorder="1"/>
    <xf numFmtId="3" fontId="10" fillId="2" borderId="0" xfId="0" applyNumberFormat="1" applyFont="1" applyFill="1"/>
    <xf numFmtId="168" fontId="12" fillId="3" borderId="1" xfId="0" applyNumberFormat="1" applyFont="1" applyFill="1" applyBorder="1" applyAlignment="1">
      <alignment horizontal="center"/>
    </xf>
    <xf numFmtId="3" fontId="3" fillId="3" borderId="1" xfId="0" applyNumberFormat="1" applyFont="1" applyFill="1" applyBorder="1" applyAlignment="1">
      <alignment horizontal="center"/>
    </xf>
    <xf numFmtId="167" fontId="3" fillId="3" borderId="1" xfId="0" applyNumberFormat="1" applyFont="1" applyFill="1" applyBorder="1"/>
    <xf numFmtId="3" fontId="3" fillId="3" borderId="1" xfId="1" applyNumberFormat="1" applyFont="1" applyFill="1" applyBorder="1"/>
    <xf numFmtId="0" fontId="3" fillId="2" borderId="0" xfId="0" applyFont="1" applyFill="1" applyAlignment="1">
      <alignment vertical="top"/>
    </xf>
    <xf numFmtId="0" fontId="0" fillId="2" borderId="0" xfId="0" applyFill="1" applyAlignment="1">
      <alignment vertical="top"/>
    </xf>
    <xf numFmtId="0" fontId="0" fillId="0" borderId="0" xfId="0" applyProtection="1">
      <protection hidden="1"/>
    </xf>
    <xf numFmtId="0" fontId="14" fillId="0" borderId="0" xfId="0" applyFont="1" applyProtection="1">
      <protection hidden="1"/>
    </xf>
    <xf numFmtId="0" fontId="8" fillId="0" borderId="0" xfId="0" applyFont="1" applyProtection="1">
      <protection hidden="1"/>
    </xf>
    <xf numFmtId="0" fontId="7" fillId="0" borderId="0" xfId="0" applyFont="1" applyProtection="1">
      <protection hidden="1"/>
    </xf>
    <xf numFmtId="0" fontId="15" fillId="0" borderId="0" xfId="0" applyFont="1" applyProtection="1">
      <protection hidden="1"/>
    </xf>
    <xf numFmtId="0" fontId="0" fillId="3" borderId="0" xfId="0" applyFill="1" applyProtection="1">
      <protection hidden="1"/>
    </xf>
    <xf numFmtId="0" fontId="0" fillId="2" borderId="0" xfId="0" applyFill="1" applyProtection="1">
      <protection hidden="1"/>
    </xf>
    <xf numFmtId="0" fontId="3" fillId="2" borderId="0" xfId="0" applyFont="1" applyFill="1" applyProtection="1">
      <protection hidden="1"/>
    </xf>
    <xf numFmtId="0" fontId="5" fillId="2" borderId="0" xfId="0" applyFont="1" applyFill="1" applyAlignment="1" applyProtection="1">
      <alignment horizontal="right"/>
      <protection hidden="1"/>
    </xf>
    <xf numFmtId="0" fontId="3" fillId="0" borderId="0" xfId="0" applyFont="1" applyProtection="1">
      <protection hidden="1"/>
    </xf>
    <xf numFmtId="0" fontId="3" fillId="3" borderId="0" xfId="0" applyFont="1" applyFill="1" applyProtection="1">
      <protection hidden="1"/>
    </xf>
    <xf numFmtId="0" fontId="4" fillId="2" borderId="0" xfId="0" applyFont="1" applyFill="1" applyProtection="1">
      <protection hidden="1"/>
    </xf>
    <xf numFmtId="0" fontId="3" fillId="2" borderId="2" xfId="0" applyFont="1" applyFill="1" applyBorder="1" applyProtection="1">
      <protection hidden="1"/>
    </xf>
    <xf numFmtId="164" fontId="6" fillId="2" borderId="0" xfId="1" applyNumberFormat="1" applyFont="1" applyFill="1" applyBorder="1" applyProtection="1">
      <protection hidden="1"/>
    </xf>
    <xf numFmtId="0" fontId="6" fillId="2" borderId="0" xfId="0" applyFont="1" applyFill="1" applyAlignment="1" applyProtection="1">
      <alignment horizontal="left"/>
      <protection hidden="1"/>
    </xf>
    <xf numFmtId="165" fontId="6" fillId="2" borderId="0" xfId="1" applyNumberFormat="1" applyFont="1" applyFill="1" applyBorder="1" applyProtection="1">
      <protection hidden="1"/>
    </xf>
    <xf numFmtId="0" fontId="12" fillId="0" borderId="0" xfId="0" applyFont="1" applyProtection="1">
      <protection hidden="1"/>
    </xf>
    <xf numFmtId="0" fontId="12" fillId="2" borderId="0" xfId="0" applyFont="1" applyFill="1" applyProtection="1">
      <protection hidden="1"/>
    </xf>
    <xf numFmtId="168" fontId="12" fillId="2" borderId="0" xfId="0" applyNumberFormat="1" applyFont="1" applyFill="1" applyAlignment="1" applyProtection="1">
      <alignment horizontal="right"/>
      <protection hidden="1"/>
    </xf>
    <xf numFmtId="0" fontId="12" fillId="2" borderId="2" xfId="0" applyFont="1" applyFill="1" applyBorder="1" applyProtection="1">
      <protection hidden="1"/>
    </xf>
    <xf numFmtId="17" fontId="3" fillId="2" borderId="0" xfId="0" applyNumberFormat="1" applyFont="1" applyFill="1" applyProtection="1">
      <protection hidden="1"/>
    </xf>
    <xf numFmtId="0" fontId="3" fillId="2" borderId="0" xfId="0" applyFont="1" applyFill="1" applyAlignment="1" applyProtection="1">
      <alignment horizontal="right"/>
      <protection hidden="1"/>
    </xf>
    <xf numFmtId="17" fontId="3" fillId="2" borderId="3" xfId="0" applyNumberFormat="1" applyFont="1" applyFill="1" applyBorder="1" applyProtection="1">
      <protection hidden="1"/>
    </xf>
    <xf numFmtId="17" fontId="3" fillId="2" borderId="4" xfId="0" applyNumberFormat="1" applyFont="1" applyFill="1" applyBorder="1" applyProtection="1">
      <protection hidden="1"/>
    </xf>
    <xf numFmtId="17" fontId="3" fillId="2" borderId="5" xfId="0" applyNumberFormat="1" applyFont="1" applyFill="1" applyBorder="1" applyProtection="1">
      <protection hidden="1"/>
    </xf>
    <xf numFmtId="17" fontId="3" fillId="2" borderId="6" xfId="0" applyNumberFormat="1" applyFont="1" applyFill="1" applyBorder="1" applyProtection="1">
      <protection hidden="1"/>
    </xf>
    <xf numFmtId="0" fontId="9" fillId="2" borderId="0" xfId="0" applyFont="1" applyFill="1" applyProtection="1">
      <protection hidden="1"/>
    </xf>
    <xf numFmtId="0" fontId="0" fillId="2" borderId="0" xfId="0" applyFill="1" applyAlignment="1" applyProtection="1">
      <alignment vertical="top"/>
      <protection hidden="1"/>
    </xf>
    <xf numFmtId="166" fontId="3" fillId="2" borderId="0" xfId="0" applyNumberFormat="1" applyFont="1" applyFill="1" applyProtection="1">
      <protection hidden="1"/>
    </xf>
    <xf numFmtId="166" fontId="12" fillId="2" borderId="0" xfId="0" applyNumberFormat="1" applyFont="1" applyFill="1" applyProtection="1">
      <protection hidden="1"/>
    </xf>
    <xf numFmtId="0" fontId="13" fillId="2" borderId="0" xfId="0" applyFont="1" applyFill="1" applyProtection="1">
      <protection hidden="1"/>
    </xf>
    <xf numFmtId="165" fontId="13" fillId="2" borderId="0" xfId="1" applyNumberFormat="1" applyFont="1" applyFill="1" applyBorder="1" applyProtection="1">
      <protection hidden="1"/>
    </xf>
    <xf numFmtId="0" fontId="6" fillId="2" borderId="0" xfId="0" applyFont="1" applyFill="1" applyProtection="1">
      <protection hidden="1"/>
    </xf>
    <xf numFmtId="169" fontId="3" fillId="2" borderId="0" xfId="0" applyNumberFormat="1" applyFont="1" applyFill="1" applyProtection="1">
      <protection hidden="1"/>
    </xf>
    <xf numFmtId="43" fontId="4" fillId="2" borderId="0" xfId="1" applyFont="1" applyFill="1" applyBorder="1" applyProtection="1">
      <protection hidden="1"/>
    </xf>
    <xf numFmtId="0" fontId="2" fillId="2" borderId="0" xfId="0" applyFont="1" applyFill="1" applyProtection="1">
      <protection hidden="1"/>
    </xf>
    <xf numFmtId="43" fontId="6" fillId="2" borderId="0" xfId="1" applyFont="1" applyFill="1" applyBorder="1" applyAlignment="1" applyProtection="1">
      <alignment horizontal="center"/>
      <protection hidden="1"/>
    </xf>
    <xf numFmtId="165" fontId="4" fillId="2" borderId="0" xfId="1" applyNumberFormat="1" applyFont="1" applyFill="1" applyBorder="1" applyProtection="1">
      <protection hidden="1"/>
    </xf>
    <xf numFmtId="43" fontId="4" fillId="2" borderId="0" xfId="1" applyFont="1" applyFill="1" applyBorder="1" applyAlignment="1" applyProtection="1">
      <protection hidden="1"/>
    </xf>
    <xf numFmtId="49" fontId="15" fillId="0" borderId="0" xfId="0" applyNumberFormat="1" applyFont="1" applyProtection="1">
      <protection hidden="1"/>
    </xf>
    <xf numFmtId="0" fontId="16" fillId="2" borderId="0" xfId="0" applyFont="1" applyFill="1" applyProtection="1">
      <protection hidden="1"/>
    </xf>
    <xf numFmtId="0" fontId="17" fillId="0" borderId="0" xfId="0" applyFont="1" applyAlignment="1">
      <alignment vertical="center"/>
    </xf>
    <xf numFmtId="173" fontId="17" fillId="0" borderId="0" xfId="0" applyNumberFormat="1" applyFont="1" applyAlignment="1">
      <alignment vertical="center"/>
    </xf>
    <xf numFmtId="0" fontId="17" fillId="0" borderId="0" xfId="0" applyFont="1" applyAlignment="1">
      <alignment horizontal="right" vertical="center"/>
    </xf>
    <xf numFmtId="49" fontId="17" fillId="0" borderId="0" xfId="0" applyNumberFormat="1" applyFont="1" applyAlignment="1">
      <alignment horizontal="right" vertical="center"/>
    </xf>
    <xf numFmtId="0" fontId="18" fillId="0" borderId="0" xfId="0" applyFont="1" applyAlignment="1">
      <alignment vertical="center"/>
    </xf>
    <xf numFmtId="173" fontId="18" fillId="0" borderId="0" xfId="0" applyNumberFormat="1" applyFont="1" applyAlignment="1">
      <alignment vertical="center"/>
    </xf>
    <xf numFmtId="0" fontId="3" fillId="2" borderId="11" xfId="0" applyFont="1" applyFill="1" applyBorder="1" applyProtection="1">
      <protection hidden="1"/>
    </xf>
    <xf numFmtId="0" fontId="12" fillId="2" borderId="11" xfId="0" applyFont="1" applyFill="1" applyBorder="1" applyProtection="1">
      <protection hidden="1"/>
    </xf>
    <xf numFmtId="0" fontId="5" fillId="2" borderId="0" xfId="0" applyFont="1" applyFill="1" applyAlignment="1" applyProtection="1">
      <alignment horizontal="right" vertical="top"/>
      <protection hidden="1"/>
    </xf>
    <xf numFmtId="174" fontId="0" fillId="0" borderId="0" xfId="0" applyNumberFormat="1" applyProtection="1">
      <protection hidden="1"/>
    </xf>
    <xf numFmtId="43" fontId="4" fillId="2" borderId="0" xfId="1" applyFont="1" applyFill="1" applyBorder="1" applyAlignment="1" applyProtection="1">
      <alignment horizontal="left" vertical="top"/>
      <protection hidden="1"/>
    </xf>
    <xf numFmtId="167" fontId="18" fillId="0" borderId="0" xfId="0" applyNumberFormat="1" applyFont="1" applyAlignment="1">
      <alignment horizontal="right" vertical="center"/>
    </xf>
    <xf numFmtId="2" fontId="6" fillId="2" borderId="0" xfId="1" applyNumberFormat="1" applyFont="1" applyFill="1" applyBorder="1" applyAlignment="1" applyProtection="1">
      <alignment horizontal="right"/>
      <protection hidden="1"/>
    </xf>
    <xf numFmtId="0" fontId="19" fillId="3" borderId="0" xfId="0" applyFont="1" applyFill="1" applyProtection="1">
      <protection hidden="1"/>
    </xf>
    <xf numFmtId="0" fontId="0" fillId="4" borderId="0" xfId="0" applyFill="1" applyProtection="1">
      <protection hidden="1"/>
    </xf>
    <xf numFmtId="173" fontId="17" fillId="0" borderId="0" xfId="0" applyNumberFormat="1" applyFont="1" applyAlignment="1">
      <alignment horizontal="right" vertical="center"/>
    </xf>
    <xf numFmtId="173" fontId="17" fillId="0" borderId="0" xfId="0" applyNumberFormat="1" applyFont="1" applyAlignment="1">
      <alignment horizontal="right"/>
    </xf>
    <xf numFmtId="0" fontId="20" fillId="2" borderId="0" xfId="0" applyFont="1" applyFill="1" applyProtection="1">
      <protection hidden="1"/>
    </xf>
    <xf numFmtId="0" fontId="21" fillId="0" borderId="0" xfId="0" applyFont="1" applyProtection="1">
      <protection hidden="1"/>
    </xf>
    <xf numFmtId="49" fontId="12" fillId="3" borderId="1" xfId="0" applyNumberFormat="1" applyFont="1" applyFill="1" applyBorder="1" applyAlignment="1">
      <alignment horizontal="center"/>
    </xf>
    <xf numFmtId="166" fontId="16" fillId="2" borderId="0" xfId="0" applyNumberFormat="1" applyFont="1" applyFill="1" applyProtection="1">
      <protection hidden="1"/>
    </xf>
    <xf numFmtId="0" fontId="3" fillId="4" borderId="0" xfId="0" applyFont="1" applyFill="1" applyProtection="1">
      <protection hidden="1"/>
    </xf>
    <xf numFmtId="0" fontId="0" fillId="0" borderId="16" xfId="0" applyBorder="1"/>
    <xf numFmtId="0" fontId="20" fillId="4" borderId="0" xfId="0" applyFont="1" applyFill="1" applyAlignment="1" applyProtection="1">
      <alignment vertical="center"/>
      <protection hidden="1"/>
    </xf>
    <xf numFmtId="179" fontId="22" fillId="4" borderId="17" xfId="3" applyNumberFormat="1" applyFont="1" applyFill="1" applyBorder="1" applyAlignment="1"/>
    <xf numFmtId="179" fontId="22" fillId="4" borderId="24" xfId="3" applyNumberFormat="1" applyFont="1" applyFill="1" applyBorder="1" applyAlignment="1"/>
    <xf numFmtId="0" fontId="20" fillId="4" borderId="0" xfId="0" applyFont="1" applyFill="1" applyProtection="1">
      <protection hidden="1"/>
    </xf>
    <xf numFmtId="44" fontId="20" fillId="4" borderId="0" xfId="0" applyNumberFormat="1" applyFont="1" applyFill="1" applyProtection="1">
      <protection hidden="1"/>
    </xf>
    <xf numFmtId="164" fontId="24" fillId="4" borderId="0" xfId="0" applyNumberFormat="1" applyFont="1" applyFill="1" applyProtection="1">
      <protection hidden="1"/>
    </xf>
    <xf numFmtId="0" fontId="0" fillId="0" borderId="0" xfId="0" applyFont="1" applyProtection="1">
      <protection hidden="1"/>
    </xf>
    <xf numFmtId="0" fontId="0" fillId="3" borderId="0" xfId="0" applyFont="1" applyFill="1" applyProtection="1">
      <protection hidden="1"/>
    </xf>
    <xf numFmtId="0" fontId="0" fillId="4" borderId="0" xfId="0" applyFont="1" applyFill="1" applyProtection="1">
      <protection hidden="1"/>
    </xf>
    <xf numFmtId="0" fontId="0" fillId="2" borderId="0" xfId="0" applyFont="1" applyFill="1" applyAlignment="1" applyProtection="1">
      <alignment horizontal="center"/>
      <protection hidden="1"/>
    </xf>
    <xf numFmtId="0" fontId="0" fillId="2" borderId="0" xfId="0" applyFont="1" applyFill="1" applyProtection="1">
      <protection hidden="1"/>
    </xf>
    <xf numFmtId="2" fontId="0" fillId="2" borderId="0" xfId="0" applyNumberFormat="1" applyFont="1" applyFill="1" applyProtection="1">
      <protection hidden="1"/>
    </xf>
    <xf numFmtId="173" fontId="0" fillId="2" borderId="0" xfId="0" applyNumberFormat="1" applyFont="1" applyFill="1" applyProtection="1">
      <protection hidden="1"/>
    </xf>
    <xf numFmtId="0" fontId="0" fillId="0" borderId="0" xfId="0" applyFont="1"/>
    <xf numFmtId="0" fontId="0" fillId="0" borderId="0" xfId="0" applyAlignment="1" applyProtection="1">
      <alignment horizontal="center"/>
      <protection hidden="1"/>
    </xf>
    <xf numFmtId="0" fontId="17" fillId="0" borderId="0" xfId="0" applyFont="1"/>
    <xf numFmtId="0" fontId="25" fillId="3" borderId="0" xfId="0" applyFont="1" applyFill="1" applyProtection="1">
      <protection hidden="1"/>
    </xf>
    <xf numFmtId="0" fontId="27" fillId="0" borderId="0" xfId="0" applyFont="1" applyProtection="1">
      <protection hidden="1"/>
    </xf>
    <xf numFmtId="168" fontId="26" fillId="3" borderId="0" xfId="0" applyNumberFormat="1" applyFont="1" applyFill="1" applyProtection="1">
      <protection hidden="1"/>
    </xf>
    <xf numFmtId="0" fontId="28" fillId="4" borderId="0" xfId="0" applyFont="1" applyFill="1" applyProtection="1">
      <protection hidden="1"/>
    </xf>
    <xf numFmtId="0" fontId="26" fillId="2" borderId="0" xfId="0" applyFont="1" applyFill="1" applyProtection="1">
      <protection hidden="1"/>
    </xf>
    <xf numFmtId="0" fontId="26" fillId="2" borderId="0" xfId="0" applyFont="1" applyFill="1" applyAlignment="1" applyProtection="1">
      <alignment horizontal="right"/>
      <protection hidden="1"/>
    </xf>
    <xf numFmtId="168" fontId="26" fillId="2" borderId="0" xfId="0" applyNumberFormat="1" applyFont="1" applyFill="1" applyAlignment="1" applyProtection="1">
      <alignment horizontal="center"/>
      <protection hidden="1"/>
    </xf>
    <xf numFmtId="0" fontId="26" fillId="3" borderId="0" xfId="0" applyFont="1" applyFill="1" applyProtection="1">
      <protection hidden="1"/>
    </xf>
    <xf numFmtId="168" fontId="26" fillId="3" borderId="0" xfId="0" applyNumberFormat="1" applyFont="1" applyFill="1" applyAlignment="1" applyProtection="1">
      <alignment horizontal="center"/>
      <protection hidden="1"/>
    </xf>
    <xf numFmtId="0" fontId="0" fillId="3" borderId="0" xfId="0" applyFont="1" applyFill="1" applyAlignment="1" applyProtection="1">
      <alignment horizontal="center"/>
      <protection hidden="1"/>
    </xf>
    <xf numFmtId="0" fontId="26" fillId="3" borderId="0" xfId="0" applyFont="1" applyFill="1" applyAlignment="1" applyProtection="1">
      <alignment horizontal="right"/>
      <protection hidden="1"/>
    </xf>
    <xf numFmtId="0" fontId="26" fillId="2" borderId="2" xfId="0" applyFont="1" applyFill="1" applyBorder="1" applyProtection="1">
      <protection hidden="1"/>
    </xf>
    <xf numFmtId="3" fontId="26" fillId="2" borderId="0" xfId="0" applyNumberFormat="1" applyFont="1" applyFill="1" applyProtection="1">
      <protection hidden="1"/>
    </xf>
    <xf numFmtId="0" fontId="29" fillId="2" borderId="0" xfId="0" applyFont="1" applyFill="1" applyProtection="1">
      <protection hidden="1"/>
    </xf>
    <xf numFmtId="164" fontId="30" fillId="2" borderId="0" xfId="1" applyNumberFormat="1" applyFont="1" applyFill="1" applyBorder="1" applyProtection="1">
      <protection hidden="1"/>
    </xf>
    <xf numFmtId="0" fontId="30" fillId="2" borderId="0" xfId="0" applyFont="1" applyFill="1" applyAlignment="1" applyProtection="1">
      <alignment horizontal="left"/>
      <protection hidden="1"/>
    </xf>
    <xf numFmtId="0" fontId="26" fillId="2" borderId="11" xfId="0" applyFont="1" applyFill="1" applyBorder="1" applyProtection="1">
      <protection hidden="1"/>
    </xf>
    <xf numFmtId="0" fontId="31" fillId="2" borderId="11" xfId="0" applyFont="1" applyFill="1" applyBorder="1" applyProtection="1">
      <protection hidden="1"/>
    </xf>
    <xf numFmtId="0" fontId="32" fillId="0" borderId="0" xfId="0" applyFont="1" applyProtection="1">
      <protection hidden="1"/>
    </xf>
    <xf numFmtId="0" fontId="29" fillId="4" borderId="0" xfId="0" applyFont="1" applyFill="1" applyProtection="1">
      <protection hidden="1"/>
    </xf>
    <xf numFmtId="0" fontId="26" fillId="0" borderId="0" xfId="0" applyFont="1" applyProtection="1">
      <protection hidden="1"/>
    </xf>
    <xf numFmtId="3" fontId="33" fillId="2" borderId="0" xfId="0" applyNumberFormat="1" applyFont="1" applyFill="1" applyProtection="1">
      <protection hidden="1"/>
    </xf>
    <xf numFmtId="164" fontId="34" fillId="2" borderId="0" xfId="1" applyNumberFormat="1" applyFont="1" applyFill="1" applyBorder="1" applyProtection="1">
      <protection hidden="1"/>
    </xf>
    <xf numFmtId="0" fontId="34" fillId="2" borderId="0" xfId="0" applyFont="1" applyFill="1" applyAlignment="1" applyProtection="1">
      <alignment horizontal="left"/>
      <protection hidden="1"/>
    </xf>
    <xf numFmtId="165" fontId="34" fillId="2" borderId="0" xfId="1" applyNumberFormat="1" applyFont="1" applyFill="1" applyBorder="1" applyProtection="1">
      <protection hidden="1"/>
    </xf>
    <xf numFmtId="0" fontId="29" fillId="2" borderId="0" xfId="0" applyFont="1" applyFill="1" applyAlignment="1" applyProtection="1">
      <alignment horizontal="right"/>
      <protection hidden="1"/>
    </xf>
    <xf numFmtId="0" fontId="36" fillId="2" borderId="0" xfId="0" applyFont="1" applyFill="1" applyAlignment="1" applyProtection="1">
      <alignment horizontal="right"/>
      <protection hidden="1"/>
    </xf>
    <xf numFmtId="0" fontId="37" fillId="2" borderId="0" xfId="0" applyFont="1" applyFill="1" applyProtection="1">
      <protection hidden="1"/>
    </xf>
    <xf numFmtId="0" fontId="31" fillId="2" borderId="0" xfId="0" applyFont="1" applyFill="1" applyProtection="1">
      <protection hidden="1"/>
    </xf>
    <xf numFmtId="0" fontId="30" fillId="2" borderId="0" xfId="0" applyFont="1" applyFill="1" applyProtection="1">
      <protection hidden="1"/>
    </xf>
    <xf numFmtId="0" fontId="26" fillId="2" borderId="0" xfId="0" applyFont="1" applyFill="1" applyAlignment="1" applyProtection="1">
      <alignment vertical="top"/>
      <protection hidden="1"/>
    </xf>
    <xf numFmtId="17" fontId="26" fillId="2" borderId="0" xfId="0" applyNumberFormat="1" applyFont="1" applyFill="1" applyProtection="1">
      <protection hidden="1"/>
    </xf>
    <xf numFmtId="172" fontId="26" fillId="3" borderId="1" xfId="0" applyNumberFormat="1" applyFont="1" applyFill="1" applyBorder="1" applyAlignment="1" applyProtection="1">
      <alignment horizontal="center"/>
      <protection locked="0" hidden="1"/>
    </xf>
    <xf numFmtId="166" fontId="29" fillId="2" borderId="0" xfId="0" applyNumberFormat="1" applyFont="1" applyFill="1" applyProtection="1">
      <protection hidden="1"/>
    </xf>
    <xf numFmtId="0" fontId="26" fillId="8" borderId="15" xfId="6" applyFont="1" applyFill="1">
      <protection locked="0"/>
    </xf>
    <xf numFmtId="14" fontId="26" fillId="8" borderId="15" xfId="6" applyNumberFormat="1" applyFont="1" applyFill="1">
      <protection locked="0"/>
    </xf>
    <xf numFmtId="0" fontId="38" fillId="0" borderId="0" xfId="5" applyFont="1" applyAlignment="1">
      <alignment horizontal="right"/>
    </xf>
    <xf numFmtId="14" fontId="39" fillId="12" borderId="13" xfId="4" applyNumberFormat="1" applyFont="1" applyProtection="1">
      <protection locked="0"/>
    </xf>
    <xf numFmtId="14" fontId="39" fillId="12" borderId="13" xfId="4" applyNumberFormat="1" applyFont="1"/>
    <xf numFmtId="0" fontId="39" fillId="12" borderId="13" xfId="4" applyNumberFormat="1" applyFont="1"/>
    <xf numFmtId="0" fontId="39" fillId="8" borderId="13" xfId="4" applyNumberFormat="1" applyFont="1" applyFill="1"/>
    <xf numFmtId="9" fontId="26" fillId="0" borderId="15" xfId="6" applyNumberFormat="1" applyFont="1" applyFill="1">
      <protection locked="0"/>
    </xf>
    <xf numFmtId="175" fontId="26" fillId="8" borderId="15" xfId="6" applyNumberFormat="1" applyFont="1" applyFill="1">
      <protection locked="0"/>
    </xf>
    <xf numFmtId="9" fontId="26" fillId="8" borderId="15" xfId="6" applyNumberFormat="1" applyFont="1" applyFill="1">
      <protection locked="0"/>
    </xf>
    <xf numFmtId="44" fontId="26" fillId="8" borderId="15" xfId="3" applyFont="1" applyFill="1" applyBorder="1" applyProtection="1">
      <protection locked="0"/>
    </xf>
    <xf numFmtId="49" fontId="26" fillId="8" borderId="15" xfId="6" applyNumberFormat="1" applyFont="1" applyFill="1">
      <protection locked="0"/>
    </xf>
    <xf numFmtId="176" fontId="26" fillId="8" borderId="15" xfId="6" applyNumberFormat="1" applyFont="1" applyFill="1">
      <protection locked="0"/>
    </xf>
    <xf numFmtId="185" fontId="26" fillId="0" borderId="15" xfId="3" applyNumberFormat="1" applyFont="1" applyFill="1" applyBorder="1" applyProtection="1">
      <protection locked="0"/>
    </xf>
    <xf numFmtId="185" fontId="26" fillId="8" borderId="15" xfId="3" applyNumberFormat="1" applyFont="1" applyFill="1" applyBorder="1" applyProtection="1">
      <protection locked="0"/>
    </xf>
    <xf numFmtId="173" fontId="29" fillId="2" borderId="0" xfId="0" applyNumberFormat="1" applyFont="1" applyFill="1" applyProtection="1">
      <protection hidden="1"/>
    </xf>
    <xf numFmtId="0" fontId="40" fillId="2" borderId="0" xfId="0" applyFont="1" applyFill="1" applyProtection="1">
      <protection hidden="1"/>
    </xf>
    <xf numFmtId="173" fontId="40" fillId="2" borderId="0" xfId="0" applyNumberFormat="1" applyFont="1" applyFill="1" applyProtection="1">
      <protection hidden="1"/>
    </xf>
    <xf numFmtId="0" fontId="7" fillId="0" borderId="0" xfId="0" applyFont="1" applyAlignment="1" applyProtection="1">
      <alignment vertical="top"/>
      <protection hidden="1"/>
    </xf>
    <xf numFmtId="0" fontId="26" fillId="2" borderId="39" xfId="0" applyFont="1" applyFill="1" applyBorder="1" applyAlignment="1" applyProtection="1">
      <alignment horizontal="center"/>
      <protection hidden="1"/>
    </xf>
    <xf numFmtId="0" fontId="26" fillId="2" borderId="39" xfId="0" applyFont="1" applyFill="1" applyBorder="1" applyAlignment="1" applyProtection="1">
      <alignment horizontal="center" wrapText="1"/>
      <protection hidden="1"/>
    </xf>
    <xf numFmtId="0" fontId="23" fillId="4" borderId="0" xfId="0" applyFont="1" applyFill="1" applyAlignment="1" applyProtection="1">
      <alignment horizontal="right"/>
      <protection hidden="1"/>
    </xf>
    <xf numFmtId="0" fontId="35" fillId="4" borderId="0" xfId="0" applyFont="1" applyFill="1" applyProtection="1">
      <protection hidden="1"/>
    </xf>
    <xf numFmtId="0" fontId="42" fillId="2" borderId="0" xfId="0" applyFont="1" applyFill="1" applyProtection="1">
      <protection hidden="1"/>
    </xf>
    <xf numFmtId="0" fontId="43" fillId="3" borderId="0" xfId="0" applyFont="1" applyFill="1" applyProtection="1">
      <protection hidden="1"/>
    </xf>
    <xf numFmtId="186" fontId="26" fillId="8" borderId="15" xfId="6" applyNumberFormat="1" applyFont="1" applyFill="1">
      <protection locked="0"/>
    </xf>
    <xf numFmtId="0" fontId="44" fillId="0" borderId="0" xfId="0" applyFont="1" applyProtection="1">
      <protection hidden="1"/>
    </xf>
    <xf numFmtId="0" fontId="44" fillId="4" borderId="0" xfId="0" applyFont="1" applyFill="1" applyProtection="1">
      <protection hidden="1"/>
    </xf>
    <xf numFmtId="0" fontId="45" fillId="4" borderId="0" xfId="0" applyFont="1" applyFill="1" applyProtection="1">
      <protection hidden="1"/>
    </xf>
    <xf numFmtId="0" fontId="26" fillId="4" borderId="0" xfId="0" applyFont="1" applyFill="1" applyProtection="1">
      <protection hidden="1"/>
    </xf>
    <xf numFmtId="0" fontId="26" fillId="4" borderId="0" xfId="0" applyFont="1" applyFill="1" applyAlignment="1" applyProtection="1">
      <alignment horizontal="center"/>
      <protection hidden="1"/>
    </xf>
    <xf numFmtId="0" fontId="26" fillId="4" borderId="0" xfId="0" applyFont="1" applyFill="1" applyAlignment="1" applyProtection="1">
      <alignment horizontal="left"/>
      <protection hidden="1"/>
    </xf>
    <xf numFmtId="0" fontId="23" fillId="4" borderId="0" xfId="0" applyFont="1" applyFill="1" applyAlignment="1" applyProtection="1">
      <alignment vertical="center"/>
      <protection hidden="1"/>
    </xf>
    <xf numFmtId="0" fontId="30" fillId="4" borderId="17" xfId="0" applyFont="1" applyFill="1" applyBorder="1" applyAlignment="1" applyProtection="1">
      <alignment horizontal="center" vertical="center"/>
      <protection hidden="1"/>
    </xf>
    <xf numFmtId="0" fontId="0" fillId="4" borderId="0" xfId="0" applyFont="1" applyFill="1" applyAlignment="1" applyProtection="1">
      <alignment vertical="center"/>
      <protection hidden="1"/>
    </xf>
    <xf numFmtId="0" fontId="47" fillId="4" borderId="17" xfId="0" applyFont="1" applyFill="1" applyBorder="1" applyAlignment="1" applyProtection="1">
      <alignment vertical="center"/>
      <protection hidden="1"/>
    </xf>
    <xf numFmtId="0" fontId="47" fillId="4" borderId="17" xfId="0" applyFont="1" applyFill="1" applyBorder="1" applyAlignment="1" applyProtection="1">
      <alignment horizontal="center" vertical="center" wrapText="1"/>
      <protection hidden="1"/>
    </xf>
    <xf numFmtId="0" fontId="47" fillId="4" borderId="17" xfId="0" applyFont="1" applyFill="1" applyBorder="1" applyAlignment="1" applyProtection="1">
      <alignment vertical="center" wrapText="1"/>
      <protection hidden="1"/>
    </xf>
    <xf numFmtId="0" fontId="26" fillId="4" borderId="0" xfId="0" applyFont="1" applyFill="1" applyAlignment="1" applyProtection="1">
      <alignment vertical="center"/>
      <protection hidden="1"/>
    </xf>
    <xf numFmtId="0" fontId="26" fillId="0" borderId="0" xfId="0" applyFont="1" applyAlignment="1" applyProtection="1">
      <alignment vertical="center"/>
      <protection hidden="1"/>
    </xf>
    <xf numFmtId="0" fontId="0" fillId="0" borderId="0" xfId="0" applyFont="1" applyAlignment="1" applyProtection="1">
      <alignment vertical="center"/>
      <protection hidden="1"/>
    </xf>
    <xf numFmtId="0" fontId="49" fillId="4" borderId="0" xfId="0" applyFont="1" applyFill="1" applyAlignment="1" applyProtection="1">
      <alignment horizontal="left"/>
      <protection hidden="1"/>
    </xf>
    <xf numFmtId="0" fontId="26" fillId="2" borderId="0" xfId="0" applyFont="1" applyFill="1" applyAlignment="1" applyProtection="1">
      <alignment vertical="center"/>
      <protection hidden="1"/>
    </xf>
    <xf numFmtId="0" fontId="51" fillId="4" borderId="0" xfId="0" applyFont="1" applyFill="1" applyAlignment="1" applyProtection="1">
      <alignment horizontal="left" vertical="center"/>
      <protection hidden="1"/>
    </xf>
    <xf numFmtId="0" fontId="47" fillId="4" borderId="17" xfId="0" applyFont="1" applyFill="1" applyBorder="1" applyProtection="1">
      <protection hidden="1"/>
    </xf>
    <xf numFmtId="0" fontId="47" fillId="4" borderId="17" xfId="0" applyFont="1" applyFill="1" applyBorder="1" applyAlignment="1" applyProtection="1">
      <alignment horizontal="center" wrapText="1"/>
      <protection hidden="1"/>
    </xf>
    <xf numFmtId="0" fontId="23" fillId="7" borderId="17" xfId="0" applyFont="1" applyFill="1" applyBorder="1" applyAlignment="1" applyProtection="1">
      <alignment vertical="center"/>
      <protection hidden="1"/>
    </xf>
    <xf numFmtId="0" fontId="23" fillId="8" borderId="17" xfId="0" applyFont="1" applyFill="1" applyBorder="1" applyAlignment="1" applyProtection="1">
      <alignment vertical="center"/>
      <protection hidden="1"/>
    </xf>
    <xf numFmtId="0" fontId="46" fillId="2" borderId="0" xfId="0" applyFont="1" applyFill="1" applyAlignment="1" applyProtection="1">
      <alignment horizontal="center" vertical="center"/>
      <protection hidden="1"/>
    </xf>
    <xf numFmtId="0" fontId="26" fillId="2" borderId="0" xfId="0" applyFont="1" applyFill="1" applyAlignment="1" applyProtection="1">
      <alignment horizontal="left"/>
      <protection hidden="1"/>
    </xf>
    <xf numFmtId="0" fontId="23" fillId="4" borderId="0" xfId="0" applyFont="1" applyFill="1" applyAlignment="1" applyProtection="1">
      <alignment horizontal="left" vertical="center"/>
      <protection hidden="1"/>
    </xf>
    <xf numFmtId="0" fontId="26" fillId="2" borderId="0" xfId="0" applyFont="1" applyFill="1" applyAlignment="1" applyProtection="1">
      <alignment vertical="center" wrapText="1"/>
      <protection hidden="1"/>
    </xf>
    <xf numFmtId="0" fontId="26" fillId="2" borderId="0" xfId="0" applyFont="1" applyFill="1" applyAlignment="1" applyProtection="1">
      <alignment horizontal="center"/>
      <protection hidden="1"/>
    </xf>
    <xf numFmtId="0" fontId="26" fillId="0" borderId="0" xfId="0" applyFont="1" applyAlignment="1" applyProtection="1">
      <alignment horizontal="center"/>
      <protection hidden="1"/>
    </xf>
    <xf numFmtId="0" fontId="26" fillId="4" borderId="0" xfId="0" applyFont="1" applyFill="1" applyAlignment="1" applyProtection="1">
      <alignment horizontal="right" vertical="center" wrapText="1"/>
      <protection hidden="1"/>
    </xf>
    <xf numFmtId="0" fontId="30" fillId="4" borderId="17" xfId="0" applyFont="1" applyFill="1" applyBorder="1" applyAlignment="1" applyProtection="1">
      <alignment vertical="center"/>
      <protection hidden="1"/>
    </xf>
    <xf numFmtId="0" fontId="46" fillId="2" borderId="0" xfId="0" applyFont="1" applyFill="1" applyAlignment="1" applyProtection="1">
      <alignment horizontal="center" vertical="center" wrapText="1"/>
      <protection hidden="1"/>
    </xf>
    <xf numFmtId="0" fontId="26" fillId="2" borderId="0" xfId="0" applyFont="1" applyFill="1" applyAlignment="1" applyProtection="1">
      <alignment horizontal="center" vertical="center" wrapText="1"/>
      <protection hidden="1"/>
    </xf>
    <xf numFmtId="0" fontId="23" fillId="6" borderId="17" xfId="0" applyFont="1" applyFill="1" applyBorder="1" applyAlignment="1" applyProtection="1">
      <alignment horizontal="left" vertical="center" wrapText="1"/>
      <protection hidden="1"/>
    </xf>
    <xf numFmtId="0" fontId="23" fillId="4" borderId="37" xfId="0" applyFont="1" applyFill="1" applyBorder="1" applyAlignment="1" applyProtection="1">
      <alignment horizontal="right" vertical="center" wrapText="1"/>
      <protection hidden="1"/>
    </xf>
    <xf numFmtId="0" fontId="23" fillId="4" borderId="26" xfId="0" applyFont="1" applyFill="1" applyBorder="1" applyAlignment="1" applyProtection="1">
      <alignment horizontal="right" vertical="center" wrapText="1"/>
      <protection hidden="1"/>
    </xf>
    <xf numFmtId="0" fontId="23" fillId="4" borderId="38" xfId="0" applyFont="1" applyFill="1" applyBorder="1" applyAlignment="1" applyProtection="1">
      <alignment horizontal="right" vertical="center" wrapText="1"/>
      <protection hidden="1"/>
    </xf>
    <xf numFmtId="0" fontId="23" fillId="6" borderId="26" xfId="0" applyFont="1" applyFill="1" applyBorder="1" applyAlignment="1" applyProtection="1">
      <alignment horizontal="left" wrapText="1"/>
      <protection hidden="1"/>
    </xf>
    <xf numFmtId="182" fontId="26" fillId="0" borderId="0" xfId="0" applyNumberFormat="1" applyFont="1" applyAlignment="1" applyProtection="1">
      <alignment horizontal="center"/>
      <protection hidden="1"/>
    </xf>
    <xf numFmtId="0" fontId="23" fillId="7" borderId="26" xfId="0" applyFont="1" applyFill="1" applyBorder="1" applyAlignment="1" applyProtection="1">
      <alignment horizontal="left"/>
      <protection hidden="1"/>
    </xf>
    <xf numFmtId="0" fontId="23" fillId="8" borderId="26" xfId="0" applyFont="1" applyFill="1" applyBorder="1" applyAlignment="1" applyProtection="1">
      <alignment horizontal="left"/>
      <protection hidden="1"/>
    </xf>
    <xf numFmtId="0" fontId="49" fillId="4" borderId="0" xfId="0" applyFont="1" applyFill="1" applyProtection="1">
      <protection hidden="1"/>
    </xf>
    <xf numFmtId="0" fontId="23" fillId="4" borderId="17" xfId="0" applyFont="1" applyFill="1" applyBorder="1" applyAlignment="1" applyProtection="1">
      <alignment horizontal="center"/>
      <protection hidden="1"/>
    </xf>
    <xf numFmtId="0" fontId="55" fillId="0" borderId="0" xfId="0" applyFont="1" applyProtection="1">
      <protection hidden="1"/>
    </xf>
    <xf numFmtId="0" fontId="46" fillId="4" borderId="0" xfId="0" applyFont="1" applyFill="1" applyProtection="1">
      <protection hidden="1"/>
    </xf>
    <xf numFmtId="0" fontId="57" fillId="4" borderId="0" xfId="0" applyFont="1" applyFill="1" applyAlignment="1" applyProtection="1">
      <alignment vertical="center"/>
      <protection hidden="1"/>
    </xf>
    <xf numFmtId="0" fontId="58" fillId="4" borderId="0" xfId="0" applyFont="1" applyFill="1" applyAlignment="1" applyProtection="1">
      <alignment horizontal="left" vertical="center"/>
      <protection hidden="1"/>
    </xf>
    <xf numFmtId="0" fontId="59" fillId="4" borderId="0" xfId="0" quotePrefix="1" applyFont="1" applyFill="1" applyProtection="1">
      <protection hidden="1"/>
    </xf>
    <xf numFmtId="0" fontId="60" fillId="4" borderId="0" xfId="0" applyFont="1" applyFill="1" applyAlignment="1" applyProtection="1">
      <alignment vertical="center"/>
      <protection hidden="1"/>
    </xf>
    <xf numFmtId="0" fontId="23" fillId="0" borderId="0" xfId="0" applyFont="1" applyBorder="1" applyAlignment="1" applyProtection="1">
      <alignment horizontal="center" vertical="center"/>
      <protection hidden="1"/>
    </xf>
    <xf numFmtId="0" fontId="47" fillId="4" borderId="26" xfId="0" applyFont="1" applyFill="1" applyBorder="1" applyProtection="1">
      <protection hidden="1"/>
    </xf>
    <xf numFmtId="179" fontId="49" fillId="10" borderId="27" xfId="3" applyNumberFormat="1" applyFont="1" applyFill="1" applyBorder="1" applyAlignment="1" applyProtection="1">
      <alignment horizontal="center"/>
      <protection hidden="1"/>
    </xf>
    <xf numFmtId="179" fontId="49" fillId="4" borderId="17" xfId="3" applyNumberFormat="1" applyFont="1" applyFill="1" applyBorder="1" applyAlignment="1" applyProtection="1">
      <protection hidden="1"/>
    </xf>
    <xf numFmtId="180" fontId="49" fillId="10" borderId="17" xfId="0" applyNumberFormat="1" applyFont="1" applyFill="1" applyBorder="1" applyProtection="1">
      <protection hidden="1"/>
    </xf>
    <xf numFmtId="178" fontId="50" fillId="4" borderId="0" xfId="0" applyNumberFormat="1" applyFont="1" applyFill="1" applyAlignment="1" applyProtection="1">
      <alignment horizontal="center"/>
      <protection hidden="1"/>
    </xf>
    <xf numFmtId="44" fontId="50" fillId="4" borderId="0" xfId="3" applyFont="1" applyFill="1" applyAlignment="1" applyProtection="1">
      <alignment horizontal="center"/>
      <protection hidden="1"/>
    </xf>
    <xf numFmtId="179" fontId="50" fillId="4" borderId="0" xfId="3" applyNumberFormat="1" applyFont="1" applyFill="1" applyAlignment="1" applyProtection="1">
      <alignment horizontal="center"/>
      <protection hidden="1"/>
    </xf>
    <xf numFmtId="179" fontId="50" fillId="4" borderId="0" xfId="3" applyNumberFormat="1" applyFont="1" applyFill="1" applyAlignment="1" applyProtection="1">
      <protection hidden="1"/>
    </xf>
    <xf numFmtId="0" fontId="47" fillId="7" borderId="26" xfId="0" applyFont="1" applyFill="1" applyBorder="1" applyProtection="1">
      <protection hidden="1"/>
    </xf>
    <xf numFmtId="179" fontId="49" fillId="7" borderId="27" xfId="3" applyNumberFormat="1" applyFont="1" applyFill="1" applyBorder="1" applyAlignment="1" applyProtection="1">
      <alignment horizontal="center"/>
      <protection hidden="1"/>
    </xf>
    <xf numFmtId="0" fontId="47" fillId="8" borderId="26" xfId="0" applyFont="1" applyFill="1" applyBorder="1" applyProtection="1">
      <protection hidden="1"/>
    </xf>
    <xf numFmtId="179" fontId="49" fillId="8" borderId="27" xfId="3" applyNumberFormat="1" applyFont="1" applyFill="1" applyBorder="1" applyAlignment="1" applyProtection="1">
      <alignment horizontal="center"/>
      <protection hidden="1"/>
    </xf>
    <xf numFmtId="0" fontId="0" fillId="4" borderId="0" xfId="0" applyFont="1" applyFill="1" applyAlignment="1" applyProtection="1">
      <alignment horizontal="left"/>
      <protection hidden="1"/>
    </xf>
    <xf numFmtId="0" fontId="53" fillId="4" borderId="0" xfId="0" applyFont="1" applyFill="1" applyProtection="1">
      <protection hidden="1"/>
    </xf>
    <xf numFmtId="0" fontId="54" fillId="4" borderId="0" xfId="0" applyFont="1" applyFill="1" applyProtection="1">
      <protection hidden="1"/>
    </xf>
    <xf numFmtId="0" fontId="52" fillId="4" borderId="0" xfId="0" applyFont="1" applyFill="1" applyProtection="1">
      <protection hidden="1"/>
    </xf>
    <xf numFmtId="184" fontId="26" fillId="4" borderId="27" xfId="0" applyNumberFormat="1" applyFont="1" applyFill="1" applyBorder="1" applyAlignment="1" applyProtection="1">
      <alignment horizontal="center"/>
      <protection hidden="1"/>
    </xf>
    <xf numFmtId="0" fontId="0" fillId="4" borderId="0" xfId="0" applyFill="1" applyBorder="1" applyProtection="1">
      <protection hidden="1"/>
    </xf>
    <xf numFmtId="0" fontId="0" fillId="4" borderId="0" xfId="0" applyFill="1" applyAlignment="1" applyProtection="1">
      <alignment horizontal="right"/>
      <protection hidden="1"/>
    </xf>
    <xf numFmtId="0" fontId="0" fillId="4" borderId="0" xfId="0" applyFont="1" applyFill="1" applyAlignment="1" applyProtection="1">
      <alignment horizontal="right"/>
      <protection hidden="1"/>
    </xf>
    <xf numFmtId="0" fontId="40" fillId="2" borderId="0" xfId="0" applyFont="1" applyFill="1" applyProtection="1">
      <protection locked="0" hidden="1"/>
    </xf>
    <xf numFmtId="0" fontId="23" fillId="2" borderId="0" xfId="0" applyFont="1" applyFill="1" applyProtection="1">
      <protection locked="0" hidden="1"/>
    </xf>
    <xf numFmtId="0" fontId="0" fillId="0" borderId="0" xfId="0" applyFont="1" applyProtection="1">
      <protection locked="0" hidden="1"/>
    </xf>
    <xf numFmtId="0" fontId="26" fillId="0" borderId="0" xfId="0" applyFont="1" applyProtection="1">
      <protection locked="0" hidden="1"/>
    </xf>
    <xf numFmtId="0" fontId="0" fillId="0" borderId="0" xfId="0" applyProtection="1">
      <protection locked="0" hidden="1"/>
    </xf>
    <xf numFmtId="0" fontId="3" fillId="0" borderId="0" xfId="0" applyFont="1" applyProtection="1">
      <protection locked="0" hidden="1"/>
    </xf>
    <xf numFmtId="168" fontId="26" fillId="3" borderId="1" xfId="0" applyNumberFormat="1" applyFont="1" applyFill="1" applyBorder="1" applyProtection="1">
      <protection hidden="1"/>
    </xf>
    <xf numFmtId="164" fontId="29" fillId="4" borderId="0" xfId="0" applyNumberFormat="1" applyFont="1" applyFill="1" applyProtection="1">
      <protection hidden="1"/>
    </xf>
    <xf numFmtId="0" fontId="5" fillId="2" borderId="0" xfId="0" applyFont="1" applyFill="1" applyAlignment="1" applyProtection="1">
      <alignment horizontal="right" vertical="top"/>
      <protection hidden="1"/>
    </xf>
    <xf numFmtId="0" fontId="26" fillId="4" borderId="0" xfId="0" applyFont="1" applyFill="1" applyAlignment="1" applyProtection="1">
      <alignment vertical="top" wrapText="1"/>
      <protection hidden="1"/>
    </xf>
    <xf numFmtId="166" fontId="26" fillId="2" borderId="0" xfId="0" applyNumberFormat="1" applyFont="1" applyFill="1" applyProtection="1">
      <protection hidden="1"/>
    </xf>
    <xf numFmtId="164" fontId="26" fillId="4" borderId="0" xfId="0" applyNumberFormat="1" applyFont="1" applyFill="1" applyProtection="1">
      <protection hidden="1"/>
    </xf>
    <xf numFmtId="0" fontId="29" fillId="4" borderId="0" xfId="0" applyFont="1" applyFill="1" applyAlignment="1" applyProtection="1">
      <alignment vertical="top" wrapText="1"/>
      <protection hidden="1"/>
    </xf>
    <xf numFmtId="2" fontId="29" fillId="4" borderId="0" xfId="0" applyNumberFormat="1" applyFont="1" applyFill="1" applyProtection="1">
      <protection hidden="1"/>
    </xf>
    <xf numFmtId="0" fontId="61" fillId="4" borderId="0" xfId="0" applyFont="1" applyFill="1" applyProtection="1">
      <protection hidden="1"/>
    </xf>
    <xf numFmtId="0" fontId="62" fillId="2" borderId="0" xfId="0" applyFont="1" applyFill="1" applyBorder="1" applyProtection="1">
      <protection hidden="1"/>
    </xf>
    <xf numFmtId="0" fontId="29" fillId="4" borderId="0" xfId="0" applyFont="1" applyFill="1" applyBorder="1" applyProtection="1">
      <protection hidden="1"/>
    </xf>
    <xf numFmtId="0" fontId="37" fillId="4" borderId="0" xfId="0" applyFont="1" applyFill="1" applyBorder="1" applyAlignment="1" applyProtection="1">
      <alignment horizontal="left"/>
      <protection hidden="1"/>
    </xf>
    <xf numFmtId="0" fontId="37" fillId="4" borderId="0" xfId="0" applyFont="1" applyFill="1" applyBorder="1" applyAlignment="1" applyProtection="1">
      <alignment horizontal="left" vertical="center" wrapText="1"/>
      <protection hidden="1"/>
    </xf>
    <xf numFmtId="0" fontId="37" fillId="4" borderId="0" xfId="0" applyFont="1" applyFill="1" applyBorder="1" applyAlignment="1" applyProtection="1">
      <alignment horizontal="center" vertical="center" wrapText="1"/>
      <protection hidden="1"/>
    </xf>
    <xf numFmtId="0" fontId="29" fillId="4" borderId="0" xfId="0" applyFont="1" applyFill="1" applyBorder="1" applyAlignment="1" applyProtection="1">
      <alignment horizontal="left"/>
      <protection hidden="1"/>
    </xf>
    <xf numFmtId="3" fontId="29" fillId="4" borderId="0" xfId="0" applyNumberFormat="1" applyFont="1" applyFill="1" applyBorder="1" applyProtection="1">
      <protection hidden="1"/>
    </xf>
    <xf numFmtId="0" fontId="52" fillId="4" borderId="0" xfId="0" applyFont="1" applyFill="1" applyAlignment="1" applyProtection="1">
      <alignment vertical="center"/>
      <protection hidden="1"/>
    </xf>
    <xf numFmtId="183" fontId="26" fillId="4" borderId="27" xfId="0" applyNumberFormat="1" applyFont="1" applyFill="1" applyBorder="1" applyAlignment="1" applyProtection="1">
      <alignment horizontal="center"/>
      <protection hidden="1"/>
    </xf>
    <xf numFmtId="170" fontId="26" fillId="3" borderId="1" xfId="0" applyNumberFormat="1" applyFont="1" applyFill="1" applyBorder="1" applyAlignment="1" applyProtection="1">
      <alignment horizontal="center"/>
      <protection locked="0" hidden="1"/>
    </xf>
    <xf numFmtId="3" fontId="26" fillId="3" borderId="1" xfId="1" applyNumberFormat="1" applyFont="1" applyFill="1" applyBorder="1" applyProtection="1">
      <protection locked="0" hidden="1"/>
    </xf>
    <xf numFmtId="171" fontId="26" fillId="3" borderId="12" xfId="1" applyNumberFormat="1" applyFont="1" applyFill="1" applyBorder="1" applyAlignment="1" applyProtection="1">
      <alignment horizontal="center"/>
      <protection locked="0"/>
    </xf>
    <xf numFmtId="171" fontId="26" fillId="3" borderId="12" xfId="1" applyNumberFormat="1" applyFont="1" applyFill="1" applyBorder="1" applyAlignment="1" applyProtection="1">
      <alignment horizontal="center" vertical="center"/>
      <protection locked="0"/>
    </xf>
    <xf numFmtId="168" fontId="31" fillId="3" borderId="1" xfId="0" applyNumberFormat="1" applyFont="1" applyFill="1" applyBorder="1" applyAlignment="1" applyProtection="1">
      <alignment horizontal="center"/>
      <protection locked="0"/>
    </xf>
    <xf numFmtId="3" fontId="26" fillId="3" borderId="1" xfId="0" applyNumberFormat="1" applyFont="1" applyFill="1" applyBorder="1" applyAlignment="1" applyProtection="1">
      <alignment horizontal="center"/>
      <protection locked="0"/>
    </xf>
    <xf numFmtId="43" fontId="26" fillId="3" borderId="1" xfId="1" applyFont="1" applyFill="1" applyBorder="1" applyProtection="1">
      <protection locked="0"/>
    </xf>
    <xf numFmtId="164" fontId="26" fillId="3" borderId="1" xfId="1" applyNumberFormat="1" applyFont="1" applyFill="1" applyBorder="1" applyProtection="1">
      <protection locked="0"/>
    </xf>
    <xf numFmtId="168" fontId="26" fillId="3" borderId="1" xfId="0" applyNumberFormat="1" applyFont="1" applyFill="1" applyBorder="1" applyAlignment="1" applyProtection="1">
      <alignment horizontal="center"/>
      <protection locked="0"/>
    </xf>
    <xf numFmtId="167" fontId="26" fillId="3" borderId="1" xfId="0" applyNumberFormat="1" applyFont="1" applyFill="1" applyBorder="1" applyProtection="1">
      <protection locked="0"/>
    </xf>
    <xf numFmtId="2" fontId="0" fillId="2" borderId="10" xfId="0" applyNumberFormat="1" applyFont="1" applyFill="1" applyBorder="1" applyProtection="1">
      <protection locked="0"/>
    </xf>
    <xf numFmtId="2" fontId="0" fillId="2" borderId="0" xfId="0" applyNumberFormat="1" applyFont="1" applyFill="1" applyProtection="1">
      <protection locked="0"/>
    </xf>
    <xf numFmtId="1" fontId="26" fillId="3" borderId="12" xfId="1" applyNumberFormat="1" applyFont="1" applyFill="1" applyBorder="1" applyProtection="1">
      <protection locked="0"/>
    </xf>
    <xf numFmtId="14" fontId="26" fillId="3" borderId="12" xfId="1" applyNumberFormat="1" applyFont="1" applyFill="1" applyBorder="1" applyProtection="1">
      <protection locked="0"/>
    </xf>
    <xf numFmtId="167" fontId="26" fillId="3" borderId="40" xfId="1" applyNumberFormat="1" applyFont="1" applyFill="1" applyBorder="1" applyProtection="1">
      <protection locked="0"/>
    </xf>
    <xf numFmtId="167" fontId="26" fillId="3" borderId="12" xfId="1" applyNumberFormat="1" applyFont="1" applyFill="1" applyBorder="1" applyProtection="1">
      <protection locked="0"/>
    </xf>
    <xf numFmtId="171" fontId="26" fillId="3" borderId="41" xfId="1" applyNumberFormat="1" applyFont="1" applyFill="1" applyBorder="1" applyAlignment="1" applyProtection="1">
      <alignment horizontal="center"/>
      <protection locked="0"/>
    </xf>
    <xf numFmtId="167" fontId="41" fillId="11" borderId="12" xfId="4" applyNumberFormat="1" applyFont="1" applyFill="1" applyBorder="1" applyProtection="1">
      <protection hidden="1"/>
    </xf>
    <xf numFmtId="0" fontId="23" fillId="0" borderId="1" xfId="0" applyFont="1" applyBorder="1" applyAlignment="1" applyProtection="1">
      <alignment horizontal="center" vertical="center"/>
      <protection locked="0"/>
    </xf>
    <xf numFmtId="0" fontId="26" fillId="3" borderId="1" xfId="0" applyFont="1" applyFill="1" applyBorder="1" applyAlignment="1" applyProtection="1">
      <alignment horizontal="center" vertical="center"/>
      <protection locked="0"/>
    </xf>
    <xf numFmtId="14" fontId="26" fillId="0" borderId="1" xfId="0" applyNumberFormat="1" applyFont="1" applyBorder="1" applyAlignment="1" applyProtection="1">
      <alignment horizontal="center"/>
      <protection locked="0"/>
    </xf>
    <xf numFmtId="184" fontId="26" fillId="0" borderId="1" xfId="0" applyNumberFormat="1" applyFont="1" applyBorder="1" applyAlignment="1" applyProtection="1">
      <alignment horizontal="center"/>
      <protection locked="0"/>
    </xf>
    <xf numFmtId="183" fontId="26" fillId="0" borderId="1" xfId="0" applyNumberFormat="1" applyFont="1" applyBorder="1" applyAlignment="1" applyProtection="1">
      <alignment horizontal="center"/>
      <protection locked="0"/>
    </xf>
    <xf numFmtId="0" fontId="40" fillId="4" borderId="0" xfId="0" applyFont="1" applyFill="1" applyAlignment="1" applyProtection="1">
      <alignment horizontal="right"/>
      <protection hidden="1"/>
    </xf>
    <xf numFmtId="167" fontId="0" fillId="4" borderId="0" xfId="0" applyNumberFormat="1" applyFont="1" applyFill="1" applyProtection="1">
      <protection hidden="1"/>
    </xf>
    <xf numFmtId="167" fontId="0" fillId="4" borderId="0" xfId="0" applyNumberFormat="1" applyFont="1" applyFill="1" applyAlignment="1" applyProtection="1">
      <alignment vertical="top"/>
      <protection hidden="1"/>
    </xf>
    <xf numFmtId="0" fontId="0" fillId="4" borderId="0" xfId="0" applyFont="1" applyFill="1" applyAlignment="1" applyProtection="1">
      <alignment horizontal="center"/>
      <protection hidden="1"/>
    </xf>
    <xf numFmtId="167" fontId="0" fillId="4" borderId="0" xfId="0" applyNumberFormat="1" applyFont="1" applyFill="1" applyAlignment="1" applyProtection="1">
      <alignment horizontal="center"/>
      <protection hidden="1"/>
    </xf>
    <xf numFmtId="0" fontId="23" fillId="4" borderId="0" xfId="0" applyFont="1" applyFill="1" applyProtection="1">
      <protection hidden="1"/>
    </xf>
    <xf numFmtId="167" fontId="26" fillId="4" borderId="0" xfId="0" applyNumberFormat="1" applyFont="1" applyFill="1" applyProtection="1">
      <protection hidden="1"/>
    </xf>
    <xf numFmtId="0" fontId="23" fillId="4" borderId="0" xfId="0" applyFont="1" applyFill="1" applyAlignment="1" applyProtection="1">
      <alignment wrapText="1"/>
      <protection hidden="1"/>
    </xf>
    <xf numFmtId="167" fontId="26" fillId="4" borderId="0" xfId="0" applyNumberFormat="1" applyFont="1" applyFill="1" applyAlignment="1" applyProtection="1">
      <alignment vertical="top"/>
      <protection hidden="1"/>
    </xf>
    <xf numFmtId="167" fontId="26" fillId="4" borderId="42" xfId="0" applyNumberFormat="1" applyFont="1" applyFill="1" applyBorder="1" applyProtection="1">
      <protection hidden="1"/>
    </xf>
    <xf numFmtId="167" fontId="23" fillId="4" borderId="45" xfId="0" applyNumberFormat="1" applyFont="1" applyFill="1" applyBorder="1" applyProtection="1">
      <protection hidden="1"/>
    </xf>
    <xf numFmtId="168" fontId="26" fillId="3" borderId="7" xfId="0" applyNumberFormat="1" applyFont="1" applyFill="1" applyBorder="1" applyAlignment="1" applyProtection="1">
      <alignment horizontal="center"/>
      <protection locked="0"/>
    </xf>
    <xf numFmtId="0" fontId="0" fillId="3" borderId="8" xfId="0" applyFont="1" applyFill="1" applyBorder="1" applyAlignment="1" applyProtection="1">
      <alignment horizontal="center"/>
      <protection locked="0"/>
    </xf>
    <xf numFmtId="0" fontId="0" fillId="3" borderId="9" xfId="0" applyFont="1" applyFill="1" applyBorder="1" applyAlignment="1" applyProtection="1">
      <alignment horizontal="center"/>
      <protection locked="0"/>
    </xf>
    <xf numFmtId="0" fontId="37" fillId="4" borderId="0" xfId="0" applyFont="1" applyFill="1" applyBorder="1" applyAlignment="1" applyProtection="1">
      <alignment horizontal="center"/>
      <protection hidden="1"/>
    </xf>
    <xf numFmtId="167" fontId="26" fillId="4" borderId="43" xfId="0" applyNumberFormat="1" applyFont="1" applyFill="1" applyBorder="1" applyAlignment="1" applyProtection="1">
      <alignment horizontal="center"/>
      <protection hidden="1"/>
    </xf>
    <xf numFmtId="167" fontId="26" fillId="4" borderId="44" xfId="0" applyNumberFormat="1" applyFont="1" applyFill="1" applyBorder="1" applyAlignment="1" applyProtection="1">
      <alignment horizontal="center"/>
      <protection hidden="1"/>
    </xf>
    <xf numFmtId="167" fontId="23" fillId="4" borderId="46" xfId="0" applyNumberFormat="1" applyFont="1" applyFill="1" applyBorder="1" applyAlignment="1" applyProtection="1">
      <alignment horizontal="center"/>
      <protection hidden="1"/>
    </xf>
    <xf numFmtId="167" fontId="23" fillId="4" borderId="47" xfId="0" applyNumberFormat="1" applyFont="1" applyFill="1" applyBorder="1" applyAlignment="1" applyProtection="1">
      <alignment horizontal="center"/>
      <protection hidden="1"/>
    </xf>
    <xf numFmtId="0" fontId="26" fillId="2" borderId="0" xfId="0" applyFont="1" applyFill="1" applyAlignment="1" applyProtection="1">
      <alignment horizontal="left" vertical="top" wrapText="1"/>
      <protection hidden="1"/>
    </xf>
    <xf numFmtId="0" fontId="26" fillId="4" borderId="0" xfId="0" applyFont="1" applyFill="1" applyAlignment="1" applyProtection="1">
      <alignment horizontal="center"/>
      <protection hidden="1"/>
    </xf>
    <xf numFmtId="0" fontId="56" fillId="4" borderId="17" xfId="0" applyFont="1" applyFill="1" applyBorder="1" applyAlignment="1" applyProtection="1">
      <alignment horizontal="center" wrapText="1"/>
      <protection hidden="1"/>
    </xf>
    <xf numFmtId="0" fontId="56" fillId="4" borderId="17" xfId="0" applyFont="1" applyFill="1" applyBorder="1" applyAlignment="1" applyProtection="1">
      <alignment horizontal="center" vertical="center" wrapText="1"/>
      <protection hidden="1"/>
    </xf>
    <xf numFmtId="0" fontId="56" fillId="4" borderId="24" xfId="0" applyFont="1" applyFill="1" applyBorder="1" applyAlignment="1" applyProtection="1">
      <alignment horizontal="center" vertical="center" wrapText="1"/>
      <protection hidden="1"/>
    </xf>
    <xf numFmtId="0" fontId="56" fillId="4" borderId="18" xfId="0" applyFont="1" applyFill="1" applyBorder="1" applyAlignment="1" applyProtection="1">
      <alignment horizontal="center" vertical="center" wrapText="1"/>
      <protection hidden="1"/>
    </xf>
    <xf numFmtId="0" fontId="56" fillId="4" borderId="19" xfId="0" applyFont="1" applyFill="1" applyBorder="1" applyAlignment="1" applyProtection="1">
      <alignment horizontal="center" vertical="center" wrapText="1"/>
      <protection hidden="1"/>
    </xf>
    <xf numFmtId="0" fontId="56" fillId="4" borderId="20" xfId="0" applyFont="1" applyFill="1" applyBorder="1" applyAlignment="1" applyProtection="1">
      <alignment horizontal="center" vertical="center" wrapText="1"/>
      <protection hidden="1"/>
    </xf>
    <xf numFmtId="0" fontId="56" fillId="4" borderId="21" xfId="0" applyFont="1" applyFill="1" applyBorder="1" applyAlignment="1" applyProtection="1">
      <alignment horizontal="center" vertical="center" wrapText="1"/>
      <protection hidden="1"/>
    </xf>
    <xf numFmtId="0" fontId="56" fillId="4" borderId="22" xfId="0" applyFont="1" applyFill="1" applyBorder="1" applyAlignment="1" applyProtection="1">
      <alignment horizontal="center" vertical="center" wrapText="1"/>
      <protection hidden="1"/>
    </xf>
    <xf numFmtId="0" fontId="56" fillId="4" borderId="23" xfId="0" applyFont="1" applyFill="1" applyBorder="1" applyAlignment="1" applyProtection="1">
      <alignment horizontal="center" vertical="center" wrapText="1"/>
      <protection hidden="1"/>
    </xf>
    <xf numFmtId="0" fontId="23" fillId="6" borderId="17" xfId="0" applyFont="1" applyFill="1" applyBorder="1" applyAlignment="1" applyProtection="1">
      <alignment horizontal="center" vertical="center" wrapText="1"/>
      <protection hidden="1"/>
    </xf>
    <xf numFmtId="0" fontId="23" fillId="6" borderId="26" xfId="0" applyFont="1" applyFill="1" applyBorder="1" applyAlignment="1" applyProtection="1">
      <alignment horizontal="center" vertical="center" wrapText="1"/>
      <protection hidden="1"/>
    </xf>
    <xf numFmtId="0" fontId="23" fillId="4" borderId="27" xfId="0" applyFont="1" applyFill="1" applyBorder="1" applyAlignment="1" applyProtection="1">
      <alignment horizontal="center" vertical="center" wrapText="1"/>
      <protection hidden="1"/>
    </xf>
    <xf numFmtId="0" fontId="23" fillId="4" borderId="17" xfId="0" applyFont="1" applyFill="1" applyBorder="1" applyAlignment="1" applyProtection="1">
      <alignment horizontal="center" vertical="center" wrapText="1"/>
      <protection hidden="1"/>
    </xf>
    <xf numFmtId="0" fontId="23" fillId="4" borderId="26" xfId="0" applyFont="1" applyFill="1" applyBorder="1" applyAlignment="1" applyProtection="1">
      <alignment horizontal="center" vertical="center" wrapText="1"/>
      <protection hidden="1"/>
    </xf>
    <xf numFmtId="0" fontId="47" fillId="4" borderId="18" xfId="0" applyFont="1" applyFill="1" applyBorder="1" applyAlignment="1" applyProtection="1">
      <alignment horizontal="center" vertical="center" wrapText="1"/>
      <protection hidden="1"/>
    </xf>
    <xf numFmtId="0" fontId="47" fillId="4" borderId="19" xfId="0" applyFont="1" applyFill="1" applyBorder="1" applyAlignment="1" applyProtection="1">
      <alignment horizontal="center" vertical="center" wrapText="1"/>
      <protection hidden="1"/>
    </xf>
    <xf numFmtId="0" fontId="47" fillId="4" borderId="20" xfId="0" applyFont="1" applyFill="1" applyBorder="1" applyAlignment="1" applyProtection="1">
      <alignment horizontal="center" vertical="center" wrapText="1"/>
      <protection hidden="1"/>
    </xf>
    <xf numFmtId="178" fontId="49" fillId="0" borderId="1" xfId="0" applyNumberFormat="1" applyFont="1" applyBorder="1" applyAlignment="1" applyProtection="1">
      <alignment horizontal="center"/>
      <protection locked="0"/>
    </xf>
    <xf numFmtId="44" fontId="49" fillId="0" borderId="1" xfId="3" applyFont="1" applyFill="1" applyBorder="1" applyAlignment="1" applyProtection="1">
      <alignment horizontal="center"/>
      <protection locked="0"/>
    </xf>
    <xf numFmtId="0" fontId="23" fillId="9" borderId="24" xfId="0" applyFont="1" applyFill="1" applyBorder="1" applyAlignment="1" applyProtection="1">
      <alignment horizontal="center" vertical="center" wrapText="1"/>
      <protection hidden="1"/>
    </xf>
    <xf numFmtId="0" fontId="23" fillId="9" borderId="25" xfId="0" applyFont="1" applyFill="1" applyBorder="1" applyAlignment="1" applyProtection="1">
      <alignment horizontal="center" vertical="center" wrapText="1"/>
      <protection hidden="1"/>
    </xf>
    <xf numFmtId="0" fontId="23" fillId="9" borderId="30" xfId="0" applyFont="1" applyFill="1" applyBorder="1" applyAlignment="1" applyProtection="1">
      <alignment horizontal="center" vertical="center" wrapText="1"/>
      <protection hidden="1"/>
    </xf>
    <xf numFmtId="0" fontId="30" fillId="4" borderId="17" xfId="0" applyFont="1" applyFill="1" applyBorder="1" applyAlignment="1" applyProtection="1">
      <alignment horizontal="center" vertical="center" wrapText="1"/>
      <protection hidden="1"/>
    </xf>
    <xf numFmtId="0" fontId="23" fillId="6" borderId="18" xfId="0" applyFont="1" applyFill="1" applyBorder="1" applyAlignment="1" applyProtection="1">
      <alignment horizontal="left" vertical="center" wrapText="1"/>
      <protection hidden="1"/>
    </xf>
    <xf numFmtId="0" fontId="23" fillId="6" borderId="29" xfId="0" applyFont="1" applyFill="1" applyBorder="1" applyAlignment="1" applyProtection="1">
      <alignment horizontal="left" vertical="center" wrapText="1"/>
      <protection hidden="1"/>
    </xf>
    <xf numFmtId="177" fontId="23" fillId="10" borderId="17" xfId="3" applyNumberFormat="1" applyFont="1" applyFill="1" applyBorder="1" applyAlignment="1" applyProtection="1">
      <alignment horizontal="center" vertical="center"/>
      <protection hidden="1"/>
    </xf>
    <xf numFmtId="0" fontId="23" fillId="10" borderId="26" xfId="0" applyFont="1" applyFill="1" applyBorder="1" applyAlignment="1" applyProtection="1">
      <alignment horizontal="left" vertical="center" wrapText="1"/>
      <protection hidden="1"/>
    </xf>
    <xf numFmtId="0" fontId="23" fillId="10" borderId="27" xfId="0" applyFont="1" applyFill="1" applyBorder="1" applyAlignment="1" applyProtection="1">
      <alignment horizontal="left" vertical="center" wrapText="1"/>
      <protection hidden="1"/>
    </xf>
    <xf numFmtId="0" fontId="47" fillId="4" borderId="24" xfId="0" applyFont="1" applyFill="1" applyBorder="1" applyAlignment="1" applyProtection="1">
      <alignment horizontal="center" vertical="center" wrapText="1"/>
      <protection hidden="1"/>
    </xf>
    <xf numFmtId="0" fontId="26" fillId="4" borderId="18" xfId="0" applyFont="1" applyFill="1" applyBorder="1" applyAlignment="1" applyProtection="1">
      <alignment horizontal="center" vertical="center"/>
      <protection hidden="1"/>
    </xf>
    <xf numFmtId="0" fontId="26" fillId="4" borderId="19" xfId="0" applyFont="1" applyFill="1" applyBorder="1" applyAlignment="1" applyProtection="1">
      <alignment horizontal="center" vertical="center"/>
      <protection hidden="1"/>
    </xf>
    <xf numFmtId="0" fontId="26" fillId="4" borderId="20" xfId="0" applyFont="1" applyFill="1" applyBorder="1" applyAlignment="1" applyProtection="1">
      <alignment horizontal="center" vertical="center"/>
      <protection hidden="1"/>
    </xf>
    <xf numFmtId="0" fontId="26" fillId="4" borderId="21" xfId="0" applyFont="1" applyFill="1" applyBorder="1" applyAlignment="1" applyProtection="1">
      <alignment horizontal="center" vertical="center"/>
      <protection hidden="1"/>
    </xf>
    <xf numFmtId="0" fontId="26" fillId="4" borderId="22" xfId="0" applyFont="1" applyFill="1" applyBorder="1" applyAlignment="1" applyProtection="1">
      <alignment horizontal="center" vertical="center"/>
      <protection hidden="1"/>
    </xf>
    <xf numFmtId="0" fontId="26" fillId="4" borderId="23" xfId="0" applyFont="1" applyFill="1" applyBorder="1" applyAlignment="1" applyProtection="1">
      <alignment horizontal="center" vertical="center"/>
      <protection hidden="1"/>
    </xf>
    <xf numFmtId="0" fontId="47" fillId="4" borderId="24" xfId="0" applyFont="1" applyFill="1" applyBorder="1" applyAlignment="1" applyProtection="1">
      <alignment horizontal="center" wrapText="1"/>
      <protection hidden="1"/>
    </xf>
    <xf numFmtId="0" fontId="26" fillId="4" borderId="0" xfId="0" applyFont="1" applyFill="1" applyAlignment="1" applyProtection="1">
      <alignment horizontal="left" vertical="top" wrapText="1"/>
      <protection hidden="1"/>
    </xf>
    <xf numFmtId="177" fontId="23" fillId="8" borderId="17" xfId="3" applyNumberFormat="1" applyFont="1" applyFill="1" applyBorder="1" applyAlignment="1" applyProtection="1">
      <alignment horizontal="center" vertical="center"/>
      <protection hidden="1"/>
    </xf>
    <xf numFmtId="0" fontId="23" fillId="8" borderId="26" xfId="0" applyFont="1" applyFill="1" applyBorder="1" applyAlignment="1" applyProtection="1">
      <alignment horizontal="left" vertical="center"/>
      <protection hidden="1"/>
    </xf>
    <xf numFmtId="0" fontId="23" fillId="8" borderId="27" xfId="0" applyFont="1" applyFill="1" applyBorder="1" applyAlignment="1" applyProtection="1">
      <alignment horizontal="left" vertical="center"/>
      <protection hidden="1"/>
    </xf>
    <xf numFmtId="181" fontId="49" fillId="0" borderId="1" xfId="0" applyNumberFormat="1" applyFont="1" applyBorder="1" applyAlignment="1" applyProtection="1">
      <alignment horizontal="center"/>
      <protection locked="0"/>
    </xf>
    <xf numFmtId="0" fontId="47" fillId="4" borderId="18" xfId="0" applyFont="1" applyFill="1" applyBorder="1" applyAlignment="1" applyProtection="1">
      <alignment horizontal="center" wrapText="1"/>
      <protection hidden="1"/>
    </xf>
    <xf numFmtId="0" fontId="47" fillId="4" borderId="19" xfId="0" applyFont="1" applyFill="1" applyBorder="1" applyAlignment="1" applyProtection="1">
      <alignment horizontal="center" wrapText="1"/>
      <protection hidden="1"/>
    </xf>
    <xf numFmtId="0" fontId="47" fillId="4" borderId="20" xfId="0" applyFont="1" applyFill="1" applyBorder="1" applyAlignment="1" applyProtection="1">
      <alignment horizontal="center" wrapText="1"/>
      <protection hidden="1"/>
    </xf>
    <xf numFmtId="177" fontId="23" fillId="7" borderId="17" xfId="3" applyNumberFormat="1" applyFont="1" applyFill="1" applyBorder="1" applyAlignment="1" applyProtection="1">
      <alignment horizontal="center" vertical="center"/>
      <protection hidden="1"/>
    </xf>
    <xf numFmtId="0" fontId="23" fillId="7" borderId="26" xfId="0" applyFont="1" applyFill="1" applyBorder="1" applyAlignment="1" applyProtection="1">
      <alignment horizontal="left" vertical="center"/>
      <protection hidden="1"/>
    </xf>
    <xf numFmtId="0" fontId="23" fillId="7" borderId="27" xfId="0" applyFont="1" applyFill="1" applyBorder="1" applyAlignment="1" applyProtection="1">
      <alignment horizontal="left" vertical="center"/>
      <protection hidden="1"/>
    </xf>
    <xf numFmtId="0" fontId="47" fillId="10" borderId="26" xfId="0" applyFont="1" applyFill="1" applyBorder="1" applyAlignment="1" applyProtection="1">
      <alignment horizontal="left"/>
      <protection hidden="1"/>
    </xf>
    <xf numFmtId="0" fontId="47" fillId="10" borderId="27" xfId="0" applyFont="1" applyFill="1" applyBorder="1" applyAlignment="1" applyProtection="1">
      <alignment horizontal="left"/>
      <protection hidden="1"/>
    </xf>
    <xf numFmtId="184" fontId="23" fillId="6" borderId="26" xfId="0" applyNumberFormat="1" applyFont="1" applyFill="1" applyBorder="1" applyAlignment="1" applyProtection="1">
      <alignment horizontal="center" vertical="center"/>
      <protection hidden="1"/>
    </xf>
    <xf numFmtId="184" fontId="23" fillId="6" borderId="27" xfId="0" applyNumberFormat="1" applyFont="1" applyFill="1" applyBorder="1" applyAlignment="1" applyProtection="1">
      <alignment horizontal="center" vertical="center"/>
      <protection hidden="1"/>
    </xf>
    <xf numFmtId="0" fontId="23" fillId="6" borderId="31" xfId="0" applyFont="1" applyFill="1" applyBorder="1" applyAlignment="1" applyProtection="1">
      <alignment horizontal="left" vertical="center"/>
      <protection hidden="1"/>
    </xf>
    <xf numFmtId="0" fontId="23" fillId="6" borderId="32" xfId="0" applyFont="1" applyFill="1" applyBorder="1" applyAlignment="1" applyProtection="1">
      <alignment horizontal="left" vertical="center"/>
      <protection hidden="1"/>
    </xf>
    <xf numFmtId="0" fontId="26" fillId="0" borderId="1" xfId="0" applyFont="1" applyBorder="1" applyAlignment="1" applyProtection="1">
      <alignment horizontal="center" vertical="center"/>
      <protection locked="0"/>
    </xf>
    <xf numFmtId="181" fontId="23" fillId="7" borderId="26" xfId="0" applyNumberFormat="1" applyFont="1" applyFill="1" applyBorder="1" applyAlignment="1" applyProtection="1">
      <alignment horizontal="center" vertical="center"/>
      <protection hidden="1"/>
    </xf>
    <xf numFmtId="181" fontId="23" fillId="7" borderId="27" xfId="0" applyNumberFormat="1" applyFont="1" applyFill="1" applyBorder="1" applyAlignment="1" applyProtection="1">
      <alignment horizontal="center" vertical="center"/>
      <protection hidden="1"/>
    </xf>
    <xf numFmtId="0" fontId="23" fillId="7" borderId="33" xfId="0" applyFont="1" applyFill="1" applyBorder="1" applyAlignment="1" applyProtection="1">
      <alignment horizontal="left" vertical="center"/>
      <protection hidden="1"/>
    </xf>
    <xf numFmtId="181" fontId="23" fillId="8" borderId="26" xfId="0" applyNumberFormat="1" applyFont="1" applyFill="1" applyBorder="1" applyAlignment="1" applyProtection="1">
      <alignment horizontal="center" vertical="center"/>
      <protection hidden="1"/>
    </xf>
    <xf numFmtId="181" fontId="23" fillId="8" borderId="27" xfId="0" applyNumberFormat="1" applyFont="1" applyFill="1" applyBorder="1" applyAlignment="1" applyProtection="1">
      <alignment horizontal="center" vertical="center"/>
      <protection hidden="1"/>
    </xf>
    <xf numFmtId="0" fontId="23" fillId="8" borderId="34" xfId="0" applyFont="1" applyFill="1" applyBorder="1" applyAlignment="1" applyProtection="1">
      <alignment horizontal="left" vertical="center"/>
      <protection hidden="1"/>
    </xf>
    <xf numFmtId="0" fontId="23" fillId="8" borderId="35" xfId="0" applyFont="1" applyFill="1" applyBorder="1" applyAlignment="1" applyProtection="1">
      <alignment horizontal="left" vertical="center"/>
      <protection hidden="1"/>
    </xf>
    <xf numFmtId="0" fontId="23" fillId="4" borderId="17" xfId="0" applyFont="1" applyFill="1" applyBorder="1" applyAlignment="1" applyProtection="1">
      <alignment wrapText="1"/>
      <protection hidden="1"/>
    </xf>
    <xf numFmtId="0" fontId="23" fillId="4" borderId="24" xfId="0" applyFont="1" applyFill="1" applyBorder="1" applyAlignment="1" applyProtection="1">
      <alignment wrapText="1"/>
      <protection hidden="1"/>
    </xf>
    <xf numFmtId="0" fontId="26" fillId="4" borderId="17" xfId="0" applyFont="1" applyFill="1" applyBorder="1" applyAlignment="1" applyProtection="1">
      <alignment wrapText="1"/>
      <protection hidden="1"/>
    </xf>
    <xf numFmtId="0" fontId="26" fillId="4" borderId="24" xfId="0" applyFont="1" applyFill="1" applyBorder="1" applyAlignment="1" applyProtection="1">
      <alignment wrapText="1"/>
      <protection hidden="1"/>
    </xf>
    <xf numFmtId="0" fontId="23" fillId="2" borderId="24" xfId="0" applyFont="1" applyFill="1" applyBorder="1" applyAlignment="1" applyProtection="1">
      <alignment horizontal="left" wrapText="1"/>
      <protection hidden="1"/>
    </xf>
    <xf numFmtId="0" fontId="23" fillId="2" borderId="25" xfId="0" applyFont="1" applyFill="1" applyBorder="1" applyAlignment="1" applyProtection="1">
      <alignment horizontal="left" wrapText="1"/>
      <protection hidden="1"/>
    </xf>
    <xf numFmtId="0" fontId="26" fillId="4" borderId="18" xfId="0" applyFont="1" applyFill="1" applyBorder="1" applyAlignment="1" applyProtection="1">
      <alignment horizontal="left" wrapText="1"/>
      <protection hidden="1"/>
    </xf>
    <xf numFmtId="0" fontId="26" fillId="4" borderId="20" xfId="0" applyFont="1" applyFill="1" applyBorder="1" applyAlignment="1" applyProtection="1">
      <alignment horizontal="left" wrapText="1"/>
      <protection hidden="1"/>
    </xf>
    <xf numFmtId="0" fontId="26" fillId="4" borderId="21" xfId="0" applyFont="1" applyFill="1" applyBorder="1" applyAlignment="1" applyProtection="1">
      <alignment horizontal="left" wrapText="1"/>
      <protection hidden="1"/>
    </xf>
    <xf numFmtId="0" fontId="26" fillId="4" borderId="23" xfId="0" applyFont="1" applyFill="1" applyBorder="1" applyAlignment="1" applyProtection="1">
      <alignment horizontal="left" wrapText="1"/>
      <protection hidden="1"/>
    </xf>
    <xf numFmtId="0" fontId="23" fillId="4" borderId="17" xfId="0" applyFont="1" applyFill="1" applyBorder="1" applyAlignment="1" applyProtection="1">
      <alignment horizontal="left" wrapText="1"/>
      <protection hidden="1"/>
    </xf>
    <xf numFmtId="0" fontId="23" fillId="2" borderId="17" xfId="0" applyFont="1" applyFill="1" applyBorder="1" applyAlignment="1" applyProtection="1">
      <alignment horizontal="center" wrapText="1"/>
      <protection hidden="1"/>
    </xf>
    <xf numFmtId="0" fontId="23" fillId="4" borderId="18" xfId="0" applyFont="1" applyFill="1" applyBorder="1" applyAlignment="1" applyProtection="1">
      <alignment horizontal="center"/>
      <protection hidden="1"/>
    </xf>
    <xf numFmtId="0" fontId="23" fillId="4" borderId="20" xfId="0" applyFont="1" applyFill="1" applyBorder="1" applyAlignment="1" applyProtection="1">
      <alignment horizontal="center"/>
      <protection hidden="1"/>
    </xf>
    <xf numFmtId="184" fontId="26" fillId="0" borderId="1" xfId="0" applyNumberFormat="1" applyFont="1" applyBorder="1" applyAlignment="1" applyProtection="1">
      <alignment horizontal="center"/>
      <protection locked="0"/>
    </xf>
    <xf numFmtId="14" fontId="26" fillId="0" borderId="1" xfId="0" applyNumberFormat="1" applyFont="1" applyBorder="1" applyAlignment="1" applyProtection="1">
      <alignment horizontal="center"/>
      <protection locked="0"/>
    </xf>
    <xf numFmtId="2" fontId="26" fillId="2" borderId="28" xfId="0" applyNumberFormat="1" applyFont="1" applyFill="1" applyBorder="1" applyAlignment="1" applyProtection="1">
      <alignment horizontal="center"/>
      <protection hidden="1"/>
    </xf>
    <xf numFmtId="2" fontId="26" fillId="2" borderId="27" xfId="0" applyNumberFormat="1" applyFont="1" applyFill="1" applyBorder="1" applyAlignment="1" applyProtection="1">
      <alignment horizontal="center"/>
      <protection hidden="1"/>
    </xf>
    <xf numFmtId="184" fontId="26" fillId="2" borderId="17" xfId="0" applyNumberFormat="1" applyFont="1" applyFill="1" applyBorder="1" applyAlignment="1" applyProtection="1">
      <alignment horizontal="center" wrapText="1"/>
      <protection hidden="1"/>
    </xf>
    <xf numFmtId="183" fontId="26" fillId="0" borderId="1" xfId="0" applyNumberFormat="1" applyFont="1" applyBorder="1" applyAlignment="1" applyProtection="1">
      <alignment horizontal="center"/>
      <protection locked="0"/>
    </xf>
    <xf numFmtId="183" fontId="26" fillId="2" borderId="17" xfId="0" applyNumberFormat="1" applyFont="1" applyFill="1" applyBorder="1" applyAlignment="1" applyProtection="1">
      <alignment horizontal="center" wrapText="1"/>
      <protection hidden="1"/>
    </xf>
    <xf numFmtId="1" fontId="26" fillId="4" borderId="26" xfId="0" applyNumberFormat="1" applyFont="1" applyFill="1" applyBorder="1" applyAlignment="1" applyProtection="1">
      <alignment horizontal="center"/>
      <protection hidden="1"/>
    </xf>
    <xf numFmtId="1" fontId="26" fillId="4" borderId="27" xfId="0" applyNumberFormat="1" applyFont="1" applyFill="1" applyBorder="1" applyAlignment="1" applyProtection="1">
      <alignment horizontal="center"/>
      <protection hidden="1"/>
    </xf>
    <xf numFmtId="183" fontId="26" fillId="4" borderId="17" xfId="0" applyNumberFormat="1" applyFont="1" applyFill="1" applyBorder="1" applyAlignment="1" applyProtection="1">
      <alignment horizontal="center" wrapText="1"/>
      <protection hidden="1"/>
    </xf>
    <xf numFmtId="0" fontId="23" fillId="6" borderId="18" xfId="0" applyFont="1" applyFill="1" applyBorder="1" applyAlignment="1" applyProtection="1">
      <alignment horizontal="center" vertical="center" wrapText="1"/>
      <protection hidden="1"/>
    </xf>
    <xf numFmtId="0" fontId="23" fillId="6" borderId="21" xfId="0" applyFont="1" applyFill="1" applyBorder="1" applyAlignment="1" applyProtection="1">
      <alignment horizontal="center" vertical="center" wrapText="1"/>
      <protection hidden="1"/>
    </xf>
    <xf numFmtId="177" fontId="23" fillId="10" borderId="18" xfId="3" applyNumberFormat="1" applyFont="1" applyFill="1" applyBorder="1" applyAlignment="1" applyProtection="1">
      <alignment horizontal="center" vertical="center"/>
      <protection hidden="1"/>
    </xf>
    <xf numFmtId="177" fontId="23" fillId="10" borderId="20" xfId="3" applyNumberFormat="1" applyFont="1" applyFill="1" applyBorder="1" applyAlignment="1" applyProtection="1">
      <alignment horizontal="center" vertical="center"/>
      <protection hidden="1"/>
    </xf>
    <xf numFmtId="177" fontId="23" fillId="10" borderId="21" xfId="3" applyNumberFormat="1" applyFont="1" applyFill="1" applyBorder="1" applyAlignment="1" applyProtection="1">
      <alignment horizontal="center" vertical="center"/>
      <protection hidden="1"/>
    </xf>
    <xf numFmtId="177" fontId="23" fillId="10" borderId="23" xfId="3" applyNumberFormat="1" applyFont="1" applyFill="1" applyBorder="1" applyAlignment="1" applyProtection="1">
      <alignment horizontal="center" vertical="center"/>
      <protection hidden="1"/>
    </xf>
    <xf numFmtId="177" fontId="23" fillId="7" borderId="26" xfId="3" applyNumberFormat="1" applyFont="1" applyFill="1" applyBorder="1" applyAlignment="1" applyProtection="1">
      <alignment horizontal="center" vertical="center"/>
      <protection hidden="1"/>
    </xf>
    <xf numFmtId="177" fontId="23" fillId="7" borderId="27" xfId="3" applyNumberFormat="1" applyFont="1" applyFill="1" applyBorder="1" applyAlignment="1" applyProtection="1">
      <alignment horizontal="center" vertical="center"/>
      <protection hidden="1"/>
    </xf>
    <xf numFmtId="177" fontId="23" fillId="8" borderId="26" xfId="3" applyNumberFormat="1" applyFont="1" applyFill="1" applyBorder="1" applyAlignment="1" applyProtection="1">
      <alignment horizontal="center" vertical="center"/>
      <protection hidden="1"/>
    </xf>
    <xf numFmtId="177" fontId="23" fillId="8" borderId="27" xfId="3" applyNumberFormat="1" applyFont="1" applyFill="1" applyBorder="1" applyAlignment="1" applyProtection="1">
      <alignment horizontal="center" vertical="center"/>
      <protection hidden="1"/>
    </xf>
    <xf numFmtId="1" fontId="26" fillId="4" borderId="17" xfId="0" applyNumberFormat="1" applyFont="1" applyFill="1" applyBorder="1" applyAlignment="1" applyProtection="1">
      <alignment horizontal="center"/>
      <protection hidden="1"/>
    </xf>
    <xf numFmtId="184" fontId="26" fillId="4" borderId="17" xfId="0" applyNumberFormat="1" applyFont="1" applyFill="1" applyBorder="1" applyAlignment="1" applyProtection="1">
      <alignment horizontal="center" wrapText="1"/>
      <protection hidden="1"/>
    </xf>
    <xf numFmtId="0" fontId="23" fillId="4" borderId="17" xfId="0" applyFont="1" applyFill="1" applyBorder="1" applyAlignment="1" applyProtection="1">
      <alignment horizontal="center" vertical="center"/>
      <protection hidden="1"/>
    </xf>
    <xf numFmtId="0" fontId="23" fillId="0" borderId="7" xfId="0" applyFont="1" applyBorder="1" applyAlignment="1" applyProtection="1">
      <alignment horizontal="center" vertical="center"/>
      <protection hidden="1"/>
    </xf>
    <xf numFmtId="0" fontId="23" fillId="0" borderId="9" xfId="0" applyFont="1" applyBorder="1" applyAlignment="1" applyProtection="1">
      <alignment horizontal="center" vertical="center"/>
      <protection hidden="1"/>
    </xf>
    <xf numFmtId="0" fontId="23" fillId="6" borderId="26" xfId="0" applyFont="1" applyFill="1" applyBorder="1" applyAlignment="1" applyProtection="1">
      <alignment horizontal="left" vertical="center"/>
      <protection hidden="1"/>
    </xf>
    <xf numFmtId="0" fontId="23" fillId="6" borderId="48" xfId="0" applyFont="1" applyFill="1" applyBorder="1" applyAlignment="1" applyProtection="1">
      <alignment horizontal="left" vertical="center"/>
      <protection hidden="1"/>
    </xf>
    <xf numFmtId="0" fontId="23" fillId="7" borderId="48" xfId="0" applyFont="1" applyFill="1" applyBorder="1" applyAlignment="1" applyProtection="1">
      <alignment horizontal="left" vertical="center"/>
      <protection hidden="1"/>
    </xf>
    <xf numFmtId="0" fontId="23" fillId="8" borderId="21" xfId="0" applyFont="1" applyFill="1" applyBorder="1" applyAlignment="1" applyProtection="1">
      <alignment horizontal="left" vertical="center"/>
      <protection hidden="1"/>
    </xf>
    <xf numFmtId="0" fontId="23" fillId="8" borderId="22" xfId="0" applyFont="1" applyFill="1" applyBorder="1" applyAlignment="1" applyProtection="1">
      <alignment horizontal="left" vertical="center"/>
      <protection hidden="1"/>
    </xf>
    <xf numFmtId="0" fontId="56" fillId="4" borderId="26" xfId="0" applyFont="1" applyFill="1" applyBorder="1" applyAlignment="1" applyProtection="1">
      <alignment horizontal="right" vertical="center" wrapText="1"/>
      <protection hidden="1"/>
    </xf>
    <xf numFmtId="0" fontId="56" fillId="4" borderId="28" xfId="0" applyFont="1" applyFill="1" applyBorder="1" applyAlignment="1" applyProtection="1">
      <alignment horizontal="right" vertical="center" wrapText="1"/>
      <protection hidden="1"/>
    </xf>
    <xf numFmtId="0" fontId="56" fillId="4" borderId="27" xfId="0" applyFont="1" applyFill="1" applyBorder="1" applyAlignment="1" applyProtection="1">
      <alignment horizontal="right" vertical="center" wrapText="1"/>
      <protection hidden="1"/>
    </xf>
    <xf numFmtId="0" fontId="23" fillId="4" borderId="29" xfId="0" applyFont="1" applyFill="1" applyBorder="1" applyAlignment="1" applyProtection="1">
      <alignment horizontal="right" vertical="center" wrapText="1"/>
      <protection hidden="1"/>
    </xf>
    <xf numFmtId="0" fontId="23" fillId="4" borderId="0" xfId="0" applyFont="1" applyFill="1" applyAlignment="1" applyProtection="1">
      <alignment horizontal="right" vertical="center" wrapText="1"/>
      <protection hidden="1"/>
    </xf>
    <xf numFmtId="0" fontId="23" fillId="4" borderId="36" xfId="0" applyFont="1" applyFill="1" applyBorder="1" applyAlignment="1" applyProtection="1">
      <alignment horizontal="right" vertical="center" wrapText="1"/>
      <protection hidden="1"/>
    </xf>
    <xf numFmtId="0" fontId="23" fillId="4" borderId="21" xfId="0" applyFont="1" applyFill="1" applyBorder="1" applyAlignment="1" applyProtection="1">
      <alignment horizontal="right" vertical="center" wrapText="1"/>
      <protection hidden="1"/>
    </xf>
    <xf numFmtId="0" fontId="23" fillId="4" borderId="22" xfId="0" applyFont="1" applyFill="1" applyBorder="1" applyAlignment="1" applyProtection="1">
      <alignment horizontal="right" vertical="center" wrapText="1"/>
      <protection hidden="1"/>
    </xf>
    <xf numFmtId="0" fontId="23" fillId="4" borderId="23" xfId="0" applyFont="1" applyFill="1" applyBorder="1" applyAlignment="1" applyProtection="1">
      <alignment horizontal="right" vertical="center" wrapText="1"/>
      <protection hidden="1"/>
    </xf>
    <xf numFmtId="0" fontId="23" fillId="7" borderId="17" xfId="0" applyFont="1" applyFill="1" applyBorder="1" applyAlignment="1" applyProtection="1">
      <alignment horizontal="center" vertical="center"/>
      <protection hidden="1"/>
    </xf>
    <xf numFmtId="0" fontId="23" fillId="7" borderId="26" xfId="0" applyFont="1" applyFill="1" applyBorder="1" applyAlignment="1" applyProtection="1">
      <alignment horizontal="center" vertical="center"/>
      <protection hidden="1"/>
    </xf>
    <xf numFmtId="0" fontId="23" fillId="4" borderId="30" xfId="0" applyFont="1" applyFill="1" applyBorder="1" applyAlignment="1" applyProtection="1">
      <alignment horizontal="center" vertical="center"/>
      <protection hidden="1"/>
    </xf>
    <xf numFmtId="0" fontId="23" fillId="8" borderId="17" xfId="0" applyFont="1" applyFill="1" applyBorder="1" applyAlignment="1" applyProtection="1">
      <alignment horizontal="center" vertical="center"/>
      <protection hidden="1"/>
    </xf>
    <xf numFmtId="0" fontId="23" fillId="8" borderId="26" xfId="0" applyFont="1" applyFill="1" applyBorder="1" applyAlignment="1" applyProtection="1">
      <alignment horizontal="center" vertical="center"/>
      <protection hidden="1"/>
    </xf>
    <xf numFmtId="0" fontId="56" fillId="4" borderId="0" xfId="0" applyFont="1" applyFill="1" applyAlignment="1" applyProtection="1">
      <alignment horizontal="left" vertical="center" wrapText="1"/>
      <protection hidden="1"/>
    </xf>
    <xf numFmtId="0" fontId="56" fillId="4" borderId="49" xfId="0" applyFont="1" applyFill="1" applyBorder="1" applyAlignment="1" applyProtection="1">
      <alignment horizontal="left" vertical="center" wrapText="1"/>
      <protection hidden="1"/>
    </xf>
    <xf numFmtId="0" fontId="5" fillId="2" borderId="0" xfId="0" applyFont="1" applyFill="1" applyAlignment="1" applyProtection="1">
      <alignment horizontal="right" vertical="top"/>
      <protection hidden="1"/>
    </xf>
    <xf numFmtId="43" fontId="26" fillId="3" borderId="7" xfId="1" applyFont="1" applyFill="1" applyBorder="1" applyAlignment="1" applyProtection="1">
      <alignment horizontal="center"/>
      <protection locked="0"/>
    </xf>
    <xf numFmtId="43" fontId="26" fillId="3" borderId="9" xfId="1" applyFont="1" applyFill="1" applyBorder="1" applyAlignment="1" applyProtection="1">
      <alignment horizontal="center"/>
      <protection locked="0"/>
    </xf>
    <xf numFmtId="0" fontId="26" fillId="2" borderId="0" xfId="0" applyFont="1" applyFill="1" applyAlignment="1" applyProtection="1">
      <alignment vertical="top" wrapText="1"/>
      <protection hidden="1"/>
    </xf>
    <xf numFmtId="0" fontId="0" fillId="0" borderId="0" xfId="0" applyFont="1" applyAlignment="1" applyProtection="1">
      <alignment vertical="top" wrapText="1"/>
      <protection hidden="1"/>
    </xf>
    <xf numFmtId="0" fontId="46" fillId="4" borderId="0" xfId="0" applyFont="1" applyFill="1" applyAlignment="1" applyProtection="1">
      <alignment horizontal="left" vertical="center" wrapText="1"/>
      <protection hidden="1"/>
    </xf>
    <xf numFmtId="0" fontId="26" fillId="0" borderId="7" xfId="0" applyFont="1" applyBorder="1" applyAlignment="1" applyProtection="1">
      <alignment horizontal="left" vertical="center"/>
      <protection locked="0"/>
    </xf>
    <xf numFmtId="0" fontId="26" fillId="0" borderId="8" xfId="0" applyFont="1" applyBorder="1" applyAlignment="1" applyProtection="1">
      <alignment horizontal="left" vertical="center"/>
      <protection locked="0"/>
    </xf>
    <xf numFmtId="0" fontId="26" fillId="0" borderId="9" xfId="0" applyFont="1" applyBorder="1" applyAlignment="1" applyProtection="1">
      <alignment horizontal="left" vertical="center"/>
      <protection locked="0"/>
    </xf>
    <xf numFmtId="43" fontId="26" fillId="3" borderId="7" xfId="1" applyFont="1" applyFill="1" applyBorder="1" applyAlignment="1" applyProtection="1">
      <alignment horizontal="right"/>
      <protection locked="0"/>
    </xf>
    <xf numFmtId="43" fontId="26" fillId="3" borderId="9" xfId="1" applyFont="1" applyFill="1" applyBorder="1" applyAlignment="1" applyProtection="1">
      <alignment horizontal="right"/>
      <protection locked="0"/>
    </xf>
  </cellXfs>
  <cellStyles count="10">
    <cellStyle name="Berechnung" xfId="4" builtinId="22" customBuiltin="1"/>
    <cellStyle name="Dezimal [0]" xfId="8" builtinId="6" customBuiltin="1"/>
    <cellStyle name="Eingabe 2" xfId="6"/>
    <cellStyle name="Eingabe 3" xfId="7"/>
    <cellStyle name="Erklärender Text" xfId="5" builtinId="53" customBuiltin="1"/>
    <cellStyle name="Komma" xfId="1" builtinId="3" customBuiltin="1"/>
    <cellStyle name="Prozent" xfId="2" builtinId="5" customBuiltin="1"/>
    <cellStyle name="Standard" xfId="0" builtinId="0" customBuiltin="1"/>
    <cellStyle name="Währung" xfId="3" builtinId="4" customBuiltin="1"/>
    <cellStyle name="Währung [0]" xfId="9" builtinId="7" customBuiltin="1"/>
  </cellStyles>
  <dxfs count="97">
    <dxf>
      <font>
        <b val="0"/>
        <i val="0"/>
        <strike val="0"/>
        <condense val="0"/>
        <extend val="0"/>
        <outline val="0"/>
        <shadow val="0"/>
        <u val="none"/>
        <vertAlign val="baseline"/>
        <sz val="10.5"/>
        <color rgb="FF000066"/>
        <name val="Trebuchet MS"/>
        <scheme val="minor"/>
      </font>
      <numFmt numFmtId="179" formatCode="_-&quot;€&quot;\ * #,##0.0000_-;\-&quot;€&quot;\ * #,##0.0000_-;_-&quot;€&quot;\ * &quot;-&quot;??_-;_-@_-"/>
      <fill>
        <patternFill patternType="solid">
          <fgColor indexed="64"/>
          <bgColor rgb="FFD9E1F2"/>
        </patternFill>
      </fill>
      <alignment horizontal="general" vertical="bottom" textRotation="0" wrapText="0" indent="0" justifyLastLine="0" shrinkToFit="0" readingOrder="0"/>
      <border diagonalUp="0" diagonalDown="0">
        <left style="thin">
          <color indexed="64"/>
        </left>
        <right style="thin">
          <color indexed="64"/>
        </right>
        <top style="thin">
          <color indexed="64"/>
        </top>
        <bottom style="thin">
          <color indexed="64"/>
        </bottom>
        <vertical/>
        <horizontal/>
      </border>
    </dxf>
    <dxf>
      <font>
        <b val="0"/>
        <i val="0"/>
        <strike val="0"/>
        <condense val="0"/>
        <extend val="0"/>
        <outline val="0"/>
        <shadow val="0"/>
        <u val="none"/>
        <vertAlign val="baseline"/>
        <sz val="11"/>
        <color theme="1"/>
        <name val="Trebuchet MS"/>
        <scheme val="minor"/>
      </font>
      <border diagonalUp="0" diagonalDown="0">
        <left style="thin">
          <color theme="1"/>
        </left>
        <right style="thin">
          <color theme="1"/>
        </right>
        <top style="thin">
          <color theme="1"/>
        </top>
        <bottom/>
        <vertical/>
        <horizontal/>
      </border>
    </dxf>
    <dxf>
      <font>
        <color rgb="FFD9E1F2"/>
      </font>
      <fill>
        <patternFill>
          <bgColor theme="4" tint="0.79998168889431442"/>
        </patternFill>
      </fill>
    </dxf>
    <dxf>
      <font>
        <b val="0"/>
        <i val="0"/>
        <strike val="0"/>
        <condense val="0"/>
        <extend val="0"/>
        <outline val="0"/>
        <shadow val="0"/>
        <u val="none"/>
        <vertAlign val="baseline"/>
        <sz val="11"/>
        <color theme="1"/>
        <name val="Calibri"/>
        <scheme val="none"/>
      </font>
      <alignment horizontal="general" vertical="center" textRotation="0" wrapText="0" indent="0" justifyLastLine="0" shrinkToFit="0" readingOrder="0"/>
    </dxf>
    <dxf>
      <font>
        <b val="0"/>
        <i val="0"/>
        <strike val="0"/>
        <condense val="0"/>
        <extend val="0"/>
        <outline val="0"/>
        <shadow val="0"/>
        <u val="none"/>
        <vertAlign val="baseline"/>
        <sz val="11"/>
        <color theme="1"/>
        <name val="Calibri"/>
        <scheme val="none"/>
      </font>
      <alignment horizontal="general" vertical="center" textRotation="0" wrapText="0" indent="0" justifyLastLine="0" shrinkToFit="0" readingOrder="0"/>
    </dxf>
    <dxf>
      <font>
        <b val="0"/>
        <i val="0"/>
        <strike val="0"/>
        <condense val="0"/>
        <extend val="0"/>
        <outline val="0"/>
        <shadow val="0"/>
        <u val="none"/>
        <vertAlign val="baseline"/>
        <sz val="11"/>
        <color theme="1"/>
        <name val="Calibri"/>
        <scheme val="none"/>
      </font>
      <alignment horizontal="general" vertical="center" textRotation="0" wrapText="0" indent="0" justifyLastLine="0" shrinkToFit="0" readingOrder="0"/>
    </dxf>
    <dxf>
      <font>
        <b val="0"/>
        <i val="0"/>
        <strike val="0"/>
        <condense val="0"/>
        <extend val="0"/>
        <outline val="0"/>
        <shadow val="0"/>
        <u val="none"/>
        <vertAlign val="baseline"/>
        <sz val="11"/>
        <color theme="1"/>
        <name val="Calibri"/>
        <scheme val="none"/>
      </font>
      <numFmt numFmtId="173" formatCode="0.0000"/>
      <alignment horizontal="general" vertical="center" textRotation="0" wrapText="0" indent="0" justifyLastLine="0" shrinkToFit="0" readingOrder="0"/>
    </dxf>
    <dxf>
      <font>
        <b val="0"/>
        <i val="0"/>
        <strike val="0"/>
        <condense val="0"/>
        <extend val="0"/>
        <outline val="0"/>
        <shadow val="0"/>
        <u val="none"/>
        <vertAlign val="baseline"/>
        <sz val="11"/>
        <color theme="1"/>
        <name val="Calibri"/>
        <scheme val="none"/>
      </font>
      <alignment horizontal="general" vertical="center" textRotation="0" wrapText="0" indent="0" justifyLastLine="0" shrinkToFit="0" readingOrder="0"/>
    </dxf>
    <dxf>
      <font>
        <b val="0"/>
        <i val="0"/>
        <strike val="0"/>
        <condense val="0"/>
        <extend val="0"/>
        <outline val="0"/>
        <shadow val="0"/>
        <u val="none"/>
        <vertAlign val="baseline"/>
        <sz val="11"/>
        <color theme="1"/>
        <name val="Calibri"/>
        <scheme val="none"/>
      </font>
      <alignment horizontal="general" vertical="center" textRotation="0" wrapText="0" indent="0" justifyLastLine="0" shrinkToFit="0" readingOrder="0"/>
    </dxf>
    <dxf>
      <font>
        <color rgb="FFD9E1F2"/>
      </font>
      <fill>
        <patternFill>
          <bgColor theme="4" tint="0.79998168889431442"/>
        </patternFill>
      </fill>
      <border>
        <left/>
        <right/>
        <bottom/>
      </border>
    </dxf>
    <dxf>
      <font>
        <color rgb="FFD9E1F2"/>
      </font>
      <fill>
        <patternFill>
          <bgColor theme="4" tint="0.79998168889431442"/>
        </patternFill>
      </fill>
    </dxf>
    <dxf>
      <font>
        <color rgb="FFD9E1F2"/>
      </font>
    </dxf>
    <dxf>
      <font>
        <color rgb="FFD9E1F2"/>
      </font>
      <fill>
        <patternFill>
          <bgColor theme="4" tint="0.79998168889431442"/>
        </patternFill>
      </fill>
      <border>
        <left/>
        <right/>
        <top/>
        <vertical/>
        <horizontal/>
      </border>
    </dxf>
    <dxf>
      <font>
        <b/>
        <i val="0"/>
        <color rgb="FFC00000"/>
      </font>
    </dxf>
    <dxf>
      <font>
        <color rgb="FFD9E1F2"/>
      </font>
      <fill>
        <patternFill>
          <bgColor rgb="FFD9E1F2"/>
        </patternFill>
      </fill>
      <border>
        <left/>
        <right/>
        <top/>
        <bottom/>
      </border>
    </dxf>
    <dxf>
      <font>
        <b/>
        <i val="0"/>
        <color rgb="FFC00000"/>
      </font>
    </dxf>
    <dxf>
      <font>
        <b/>
        <i val="0"/>
        <color rgb="FFC00000"/>
      </font>
    </dxf>
    <dxf>
      <font>
        <b/>
        <i val="0"/>
        <color rgb="FFC00000"/>
      </font>
    </dxf>
    <dxf>
      <font>
        <b/>
        <i val="0"/>
        <color rgb="FFC00000"/>
      </font>
    </dxf>
    <dxf>
      <font>
        <color rgb="FFD9E1F2"/>
      </font>
      <fill>
        <patternFill>
          <bgColor rgb="FFD9E1F2"/>
        </patternFill>
      </fill>
      <border>
        <left/>
        <right/>
        <top/>
        <bottom/>
      </border>
    </dxf>
    <dxf>
      <fill>
        <patternFill>
          <bgColor theme="4" tint="0.79998168889431442"/>
        </patternFill>
      </fill>
      <border>
        <left style="thin">
          <color auto="1"/>
        </left>
        <right style="thin">
          <color auto="1"/>
        </right>
        <bottom style="thin">
          <color auto="1"/>
        </bottom>
        <vertical/>
        <horizontal/>
      </border>
    </dxf>
    <dxf>
      <border>
        <top style="thin">
          <color auto="1"/>
        </top>
        <bottom style="thin">
          <color auto="1"/>
        </bottom>
        <vertical/>
        <horizontal/>
      </border>
    </dxf>
    <dxf>
      <fill>
        <patternFill>
          <bgColor theme="4" tint="0.79998168889431442"/>
        </patternFill>
      </fill>
      <border>
        <left style="thin">
          <color auto="1"/>
        </left>
        <right style="thin">
          <color auto="1"/>
        </right>
        <top style="thin">
          <color auto="1"/>
        </top>
        <vertical/>
        <horizontal/>
      </border>
    </dxf>
    <dxf>
      <fill>
        <patternFill>
          <bgColor theme="4" tint="0.79998168889431442"/>
        </patternFill>
      </fill>
      <border>
        <left style="thin">
          <color auto="1"/>
        </left>
        <right style="thin">
          <color auto="1"/>
        </right>
        <top style="thin">
          <color auto="1"/>
        </top>
        <bottom style="thin">
          <color auto="1"/>
        </bottom>
        <vertical/>
        <horizontal/>
      </border>
    </dxf>
    <dxf>
      <font>
        <color rgb="FFD9E1F2"/>
      </font>
      <fill>
        <patternFill>
          <bgColor rgb="FFD9E1F2"/>
        </patternFill>
      </fill>
    </dxf>
    <dxf>
      <font>
        <color rgb="FFD9E1F2"/>
      </font>
      <fill>
        <patternFill>
          <bgColor rgb="FFD9E1F2"/>
        </patternFill>
      </fill>
    </dxf>
    <dxf>
      <font>
        <color rgb="FFD9E1F2"/>
      </font>
      <fill>
        <patternFill>
          <bgColor rgb="FFD9E1F2"/>
        </patternFill>
      </fill>
    </dxf>
    <dxf>
      <font>
        <color rgb="FFD9E1F2"/>
      </font>
      <fill>
        <patternFill>
          <bgColor rgb="FFD9E1F2"/>
        </patternFill>
      </fill>
    </dxf>
    <dxf>
      <font>
        <color rgb="FFD9E1F2"/>
      </font>
      <fill>
        <patternFill>
          <bgColor rgb="FFD9E1F2"/>
        </patternFill>
      </fill>
    </dxf>
    <dxf>
      <fill>
        <patternFill>
          <bgColor rgb="FFFF0000"/>
        </patternFill>
      </fill>
    </dxf>
    <dxf>
      <fill>
        <patternFill>
          <bgColor rgb="FFFF0000"/>
        </patternFill>
      </fill>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ill>
        <patternFill>
          <bgColor theme="0"/>
        </patternFill>
      </fill>
      <border>
        <left style="thin">
          <color rgb="FF00B0F0"/>
        </left>
        <right style="thin">
          <color rgb="FF00B0F0"/>
        </right>
        <top style="thin">
          <color rgb="FF00B0F0"/>
        </top>
        <bottom style="thin">
          <color rgb="FF00B0F0"/>
        </bottom>
        <vertical/>
        <horizontal/>
      </border>
    </dxf>
    <dxf>
      <fill>
        <patternFill>
          <bgColor theme="0"/>
        </patternFill>
      </fill>
      <border>
        <left style="thin">
          <color rgb="FF00B0F0"/>
        </left>
        <right style="thin">
          <color rgb="FF00B0F0"/>
        </right>
        <top style="thin">
          <color rgb="FF00B0F0"/>
        </top>
        <bottom style="thin">
          <color rgb="FF00B0F0"/>
        </bottom>
        <vertical/>
        <horizontal/>
      </border>
    </dxf>
    <dxf>
      <fill>
        <patternFill patternType="none">
          <fgColor indexed="64"/>
          <bgColor auto="1"/>
        </patternFill>
      </fill>
      <border>
        <left style="thin">
          <color rgb="FF00B0F0"/>
        </left>
        <right style="thin">
          <color rgb="FF00B0F0"/>
        </right>
        <top style="thin">
          <color rgb="FF00B0F0"/>
        </top>
        <bottom style="thin">
          <color rgb="FF00B0F0"/>
        </bottom>
        <vertical/>
        <horizontal/>
      </border>
    </dxf>
    <dxf>
      <font>
        <color theme="4" tint="0.79998168889431442"/>
      </font>
      <fill>
        <patternFill>
          <bgColor theme="4" tint="0.79998168889431442"/>
        </patternFill>
      </fill>
    </dxf>
    <dxf>
      <fill>
        <patternFill>
          <bgColor theme="0"/>
        </patternFill>
      </fill>
      <border>
        <left style="thin">
          <color rgb="FF00B0F0"/>
        </left>
        <right style="thin">
          <color rgb="FF00B0F0"/>
        </right>
        <top style="thin">
          <color rgb="FF00B0F0"/>
        </top>
        <bottom style="thin">
          <color rgb="FF00B0F0"/>
        </bottom>
        <vertical/>
        <horizontal/>
      </border>
    </dxf>
    <dxf>
      <fill>
        <patternFill>
          <bgColor theme="0"/>
        </patternFill>
      </fill>
      <border>
        <left style="thin">
          <color rgb="FF00B0F0"/>
        </left>
        <right style="thin">
          <color rgb="FF00B0F0"/>
        </right>
        <top style="thin">
          <color rgb="FF00B0F0"/>
        </top>
        <bottom style="thin">
          <color rgb="FF00B0F0"/>
        </bottom>
        <vertical/>
        <horizontal/>
      </border>
    </dxf>
    <dxf>
      <fill>
        <patternFill patternType="none">
          <fgColor indexed="64"/>
          <bgColor auto="1"/>
        </patternFill>
      </fill>
      <border>
        <left style="thin">
          <color rgb="FF00B0F0"/>
        </left>
        <right style="thin">
          <color rgb="FF00B0F0"/>
        </right>
        <top style="thin">
          <color rgb="FF00B0F0"/>
        </top>
        <bottom style="thin">
          <color rgb="FF00B0F0"/>
        </bottom>
        <vertical/>
        <horizontal/>
      </border>
    </dxf>
    <dxf>
      <font>
        <color theme="4" tint="0.79998168889431442"/>
      </font>
      <fill>
        <patternFill>
          <bgColor theme="4" tint="0.79998168889431442"/>
        </patternFill>
      </fill>
    </dxf>
    <dxf>
      <fill>
        <patternFill>
          <bgColor theme="0"/>
        </patternFill>
      </fill>
      <border>
        <left style="thin">
          <color rgb="FF00B0F0"/>
        </left>
        <right style="thin">
          <color rgb="FF00B0F0"/>
        </right>
        <top style="thin">
          <color rgb="FF00B0F0"/>
        </top>
        <bottom style="thin">
          <color rgb="FF00B0F0"/>
        </bottom>
        <vertical/>
        <horizontal/>
      </border>
    </dxf>
    <dxf>
      <fill>
        <patternFill>
          <bgColor theme="0"/>
        </patternFill>
      </fill>
      <border>
        <left style="thin">
          <color rgb="FF00B0F0"/>
        </left>
        <right style="thin">
          <color rgb="FF00B0F0"/>
        </right>
        <top style="thin">
          <color rgb="FF00B0F0"/>
        </top>
        <bottom style="thin">
          <color rgb="FF00B0F0"/>
        </bottom>
        <vertical/>
        <horizontal/>
      </border>
    </dxf>
    <dxf>
      <fill>
        <patternFill patternType="none">
          <fgColor indexed="64"/>
          <bgColor auto="1"/>
        </patternFill>
      </fill>
      <border>
        <left style="thin">
          <color rgb="FF00B0F0"/>
        </left>
        <right style="thin">
          <color rgb="FF00B0F0"/>
        </right>
        <top style="thin">
          <color rgb="FF00B0F0"/>
        </top>
        <bottom style="thin">
          <color rgb="FF00B0F0"/>
        </bottom>
        <vertical/>
        <horizontal/>
      </border>
    </dxf>
    <dxf>
      <font>
        <color theme="4" tint="0.79998168889431442"/>
      </font>
      <fill>
        <patternFill>
          <bgColor theme="4" tint="0.79998168889431442"/>
        </patternFill>
      </fill>
    </dxf>
    <dxf>
      <fill>
        <patternFill>
          <bgColor theme="0"/>
        </patternFill>
      </fill>
      <border>
        <left style="thin">
          <color rgb="FF00B0F0"/>
        </left>
        <right style="thin">
          <color rgb="FF00B0F0"/>
        </right>
        <top style="thin">
          <color rgb="FF00B0F0"/>
        </top>
        <bottom style="thin">
          <color rgb="FF00B0F0"/>
        </bottom>
        <vertical/>
        <horizontal/>
      </border>
    </dxf>
    <dxf>
      <fill>
        <patternFill>
          <bgColor theme="0"/>
        </patternFill>
      </fill>
      <border>
        <left style="thin">
          <color rgb="FF00B0F0"/>
        </left>
        <right style="thin">
          <color rgb="FF00B0F0"/>
        </right>
        <top style="thin">
          <color rgb="FF00B0F0"/>
        </top>
        <bottom style="thin">
          <color rgb="FF00B0F0"/>
        </bottom>
        <vertical/>
        <horizontal/>
      </border>
    </dxf>
    <dxf>
      <fill>
        <patternFill patternType="none">
          <fgColor indexed="64"/>
          <bgColor auto="1"/>
        </patternFill>
      </fill>
      <border>
        <left style="thin">
          <color rgb="FF00B0F0"/>
        </left>
        <right style="thin">
          <color rgb="FF00B0F0"/>
        </right>
        <top style="thin">
          <color rgb="FF00B0F0"/>
        </top>
        <bottom style="thin">
          <color rgb="FF00B0F0"/>
        </bottom>
        <vertical/>
        <horizontal/>
      </border>
    </dxf>
    <dxf>
      <font>
        <color theme="4" tint="0.79998168889431442"/>
      </font>
      <fill>
        <patternFill>
          <bgColor theme="4" tint="0.79998168889431442"/>
        </patternFill>
      </fill>
    </dxf>
    <dxf>
      <fill>
        <patternFill>
          <bgColor theme="0"/>
        </patternFill>
      </fill>
      <border>
        <left style="thin">
          <color rgb="FF00B0F0"/>
        </left>
        <right style="thin">
          <color rgb="FF00B0F0"/>
        </right>
        <top style="thin">
          <color rgb="FF00B0F0"/>
        </top>
        <bottom style="thin">
          <color rgb="FF00B0F0"/>
        </bottom>
        <vertical/>
        <horizontal/>
      </border>
    </dxf>
    <dxf>
      <fill>
        <patternFill>
          <bgColor theme="0"/>
        </patternFill>
      </fill>
      <border>
        <left style="thin">
          <color rgb="FF00B0F0"/>
        </left>
        <right style="thin">
          <color rgb="FF00B0F0"/>
        </right>
        <top style="thin">
          <color rgb="FF00B0F0"/>
        </top>
        <bottom style="thin">
          <color rgb="FF00B0F0"/>
        </bottom>
        <vertical/>
        <horizontal/>
      </border>
    </dxf>
    <dxf>
      <fill>
        <patternFill patternType="none">
          <fgColor indexed="64"/>
          <bgColor auto="1"/>
        </patternFill>
      </fill>
      <border>
        <left style="thin">
          <color rgb="FF00B0F0"/>
        </left>
        <right style="thin">
          <color rgb="FF00B0F0"/>
        </right>
        <top style="thin">
          <color rgb="FF00B0F0"/>
        </top>
        <bottom style="thin">
          <color rgb="FF00B0F0"/>
        </bottom>
        <vertical/>
        <horizontal/>
      </border>
    </dxf>
    <dxf>
      <font>
        <color theme="4" tint="0.79998168889431442"/>
      </font>
      <fill>
        <patternFill>
          <bgColor theme="4" tint="0.79998168889431442"/>
        </patternFill>
      </fill>
    </dxf>
    <dxf>
      <fill>
        <patternFill>
          <bgColor theme="0"/>
        </patternFill>
      </fill>
      <border>
        <left style="thin">
          <color rgb="FF00B0F0"/>
        </left>
        <right style="thin">
          <color rgb="FF00B0F0"/>
        </right>
        <top style="thin">
          <color rgb="FF00B0F0"/>
        </top>
        <bottom style="thin">
          <color rgb="FF00B0F0"/>
        </bottom>
        <vertical/>
        <horizontal/>
      </border>
    </dxf>
    <dxf>
      <fill>
        <patternFill>
          <bgColor theme="0"/>
        </patternFill>
      </fill>
      <border>
        <left style="thin">
          <color rgb="FF00B0F0"/>
        </left>
        <right style="thin">
          <color rgb="FF00B0F0"/>
        </right>
        <top style="thin">
          <color rgb="FF00B0F0"/>
        </top>
        <bottom style="thin">
          <color rgb="FF00B0F0"/>
        </bottom>
        <vertical/>
        <horizontal/>
      </border>
    </dxf>
    <dxf>
      <fill>
        <patternFill patternType="none">
          <fgColor indexed="64"/>
          <bgColor auto="1"/>
        </patternFill>
      </fill>
      <border>
        <left style="thin">
          <color rgb="FF00B0F0"/>
        </left>
        <right style="thin">
          <color rgb="FF00B0F0"/>
        </right>
        <top style="thin">
          <color rgb="FF00B0F0"/>
        </top>
        <bottom style="thin">
          <color rgb="FF00B0F0"/>
        </bottom>
        <vertical/>
        <horizontal/>
      </border>
    </dxf>
    <dxf>
      <font>
        <color theme="4" tint="0.79998168889431442"/>
      </font>
      <fill>
        <patternFill>
          <bgColor theme="4" tint="0.79998168889431442"/>
        </patternFill>
      </fill>
    </dxf>
    <dxf>
      <fill>
        <patternFill>
          <bgColor theme="0"/>
        </patternFill>
      </fill>
      <border>
        <left style="thin">
          <color rgb="FF00B0F0"/>
        </left>
        <right style="thin">
          <color rgb="FF00B0F0"/>
        </right>
        <top style="thin">
          <color rgb="FF00B0F0"/>
        </top>
        <bottom style="thin">
          <color rgb="FF00B0F0"/>
        </bottom>
        <vertical/>
        <horizontal/>
      </border>
    </dxf>
    <dxf>
      <fill>
        <patternFill>
          <bgColor theme="0"/>
        </patternFill>
      </fill>
      <border>
        <left style="thin">
          <color rgb="FF00B0F0"/>
        </left>
        <right style="thin">
          <color rgb="FF00B0F0"/>
        </right>
        <top style="thin">
          <color rgb="FF00B0F0"/>
        </top>
        <bottom style="thin">
          <color rgb="FF00B0F0"/>
        </bottom>
        <vertical/>
        <horizontal/>
      </border>
    </dxf>
    <dxf>
      <fill>
        <patternFill patternType="none">
          <fgColor indexed="64"/>
          <bgColor auto="1"/>
        </patternFill>
      </fill>
      <border>
        <left style="thin">
          <color rgb="FF00B0F0"/>
        </left>
        <right style="thin">
          <color rgb="FF00B0F0"/>
        </right>
        <top style="thin">
          <color rgb="FF00B0F0"/>
        </top>
        <bottom style="thin">
          <color rgb="FF00B0F0"/>
        </bottom>
        <vertical/>
        <horizontal/>
      </border>
    </dxf>
    <dxf>
      <font>
        <color theme="4" tint="0.79998168889431442"/>
      </font>
      <fill>
        <patternFill>
          <bgColor theme="4" tint="0.79998168889431442"/>
        </patternFill>
      </fill>
    </dxf>
    <dxf>
      <fill>
        <patternFill>
          <bgColor theme="0"/>
        </patternFill>
      </fill>
      <border>
        <left style="thin">
          <color rgb="FF00B0F0"/>
        </left>
        <right style="thin">
          <color rgb="FF00B0F0"/>
        </right>
        <top style="thin">
          <color rgb="FF00B0F0"/>
        </top>
        <bottom style="thin">
          <color rgb="FF00B0F0"/>
        </bottom>
        <vertical/>
        <horizontal/>
      </border>
    </dxf>
    <dxf>
      <fill>
        <patternFill>
          <bgColor theme="0"/>
        </patternFill>
      </fill>
      <border>
        <left style="thin">
          <color rgb="FF00B0F0"/>
        </left>
        <right style="thin">
          <color rgb="FF00B0F0"/>
        </right>
        <top style="thin">
          <color rgb="FF00B0F0"/>
        </top>
        <bottom style="thin">
          <color rgb="FF00B0F0"/>
        </bottom>
        <vertical/>
        <horizontal/>
      </border>
    </dxf>
    <dxf>
      <fill>
        <patternFill patternType="none">
          <fgColor indexed="64"/>
          <bgColor auto="1"/>
        </patternFill>
      </fill>
      <border>
        <left style="thin">
          <color rgb="FF00B0F0"/>
        </left>
        <right style="thin">
          <color rgb="FF00B0F0"/>
        </right>
        <top style="thin">
          <color rgb="FF00B0F0"/>
        </top>
        <bottom style="thin">
          <color rgb="FF00B0F0"/>
        </bottom>
        <vertical/>
        <horizontal/>
      </border>
    </dxf>
    <dxf>
      <font>
        <color theme="4" tint="0.79998168889431442"/>
      </font>
      <fill>
        <patternFill>
          <bgColor theme="4" tint="0.79998168889431442"/>
        </patternFill>
      </fill>
    </dxf>
    <dxf>
      <fill>
        <patternFill>
          <bgColor theme="0"/>
        </patternFill>
      </fill>
      <border>
        <left style="thin">
          <color rgb="FF00B0F0"/>
        </left>
        <right style="thin">
          <color rgb="FF00B0F0"/>
        </right>
        <top style="thin">
          <color rgb="FF00B0F0"/>
        </top>
        <bottom style="thin">
          <color rgb="FF00B0F0"/>
        </bottom>
        <vertical/>
        <horizontal/>
      </border>
    </dxf>
    <dxf>
      <fill>
        <patternFill>
          <bgColor theme="0"/>
        </patternFill>
      </fill>
      <border>
        <left style="thin">
          <color rgb="FF00B0F0"/>
        </left>
        <right style="thin">
          <color rgb="FF00B0F0"/>
        </right>
        <top style="thin">
          <color rgb="FF00B0F0"/>
        </top>
        <bottom style="thin">
          <color rgb="FF00B0F0"/>
        </bottom>
        <vertical/>
        <horizontal/>
      </border>
    </dxf>
    <dxf>
      <fill>
        <patternFill patternType="none">
          <fgColor indexed="64"/>
          <bgColor auto="1"/>
        </patternFill>
      </fill>
      <border>
        <left style="thin">
          <color rgb="FF00B0F0"/>
        </left>
        <right style="thin">
          <color rgb="FF00B0F0"/>
        </right>
        <top style="thin">
          <color rgb="FF00B0F0"/>
        </top>
        <bottom style="thin">
          <color rgb="FF00B0F0"/>
        </bottom>
        <vertical/>
        <horizontal/>
      </border>
    </dxf>
    <dxf>
      <font>
        <color theme="4" tint="0.79998168889431442"/>
      </font>
      <fill>
        <patternFill>
          <bgColor theme="4" tint="0.79998168889431442"/>
        </patternFill>
      </fill>
    </dxf>
    <dxf>
      <fill>
        <patternFill>
          <bgColor theme="0"/>
        </patternFill>
      </fill>
      <border>
        <left style="thin">
          <color rgb="FF00B0F0"/>
        </left>
        <right style="thin">
          <color rgb="FF00B0F0"/>
        </right>
        <top style="thin">
          <color rgb="FF00B0F0"/>
        </top>
        <bottom style="thin">
          <color rgb="FF00B0F0"/>
        </bottom>
        <vertical/>
        <horizontal/>
      </border>
    </dxf>
    <dxf>
      <fill>
        <patternFill>
          <bgColor theme="0"/>
        </patternFill>
      </fill>
      <border>
        <left style="thin">
          <color rgb="FF00B0F0"/>
        </left>
        <right style="thin">
          <color rgb="FF00B0F0"/>
        </right>
        <top style="thin">
          <color rgb="FF00B0F0"/>
        </top>
        <bottom style="thin">
          <color rgb="FF00B0F0"/>
        </bottom>
        <vertical/>
        <horizontal/>
      </border>
    </dxf>
    <dxf>
      <fill>
        <patternFill patternType="none">
          <fgColor indexed="64"/>
          <bgColor auto="1"/>
        </patternFill>
      </fill>
      <border>
        <left style="thin">
          <color rgb="FF00B0F0"/>
        </left>
        <right style="thin">
          <color rgb="FF00B0F0"/>
        </right>
        <top style="thin">
          <color rgb="FF00B0F0"/>
        </top>
        <bottom style="thin">
          <color rgb="FF00B0F0"/>
        </bottom>
        <vertical/>
        <horizontal/>
      </border>
    </dxf>
    <dxf>
      <font>
        <color theme="4" tint="0.79998168889431442"/>
      </font>
      <fill>
        <patternFill>
          <bgColor theme="4" tint="0.79998168889431442"/>
        </patternFill>
      </fill>
    </dxf>
    <dxf>
      <fill>
        <patternFill>
          <bgColor theme="0"/>
        </patternFill>
      </fill>
      <border>
        <left style="thin">
          <color rgb="FF00B0F0"/>
        </left>
        <right style="thin">
          <color rgb="FF00B0F0"/>
        </right>
        <top style="thin">
          <color rgb="FF00B0F0"/>
        </top>
        <bottom style="thin">
          <color rgb="FF00B0F0"/>
        </bottom>
        <vertical/>
        <horizontal/>
      </border>
    </dxf>
    <dxf>
      <fill>
        <patternFill>
          <bgColor theme="0"/>
        </patternFill>
      </fill>
      <border>
        <left style="thin">
          <color rgb="FF00B0F0"/>
        </left>
        <right style="thin">
          <color rgb="FF00B0F0"/>
        </right>
        <top style="thin">
          <color rgb="FF00B0F0"/>
        </top>
        <bottom style="thin">
          <color rgb="FF00B0F0"/>
        </bottom>
        <vertical/>
        <horizontal/>
      </border>
    </dxf>
    <dxf>
      <fill>
        <patternFill patternType="none">
          <fgColor indexed="64"/>
          <bgColor auto="1"/>
        </patternFill>
      </fill>
      <border>
        <left style="thin">
          <color rgb="FF00B0F0"/>
        </left>
        <right style="thin">
          <color rgb="FF00B0F0"/>
        </right>
        <top style="thin">
          <color rgb="FF00B0F0"/>
        </top>
        <bottom style="thin">
          <color rgb="FF00B0F0"/>
        </bottom>
        <vertical/>
        <horizontal/>
      </border>
    </dxf>
    <dxf>
      <font>
        <color theme="4" tint="0.79998168889431442"/>
      </font>
      <fill>
        <patternFill>
          <bgColor theme="4" tint="0.79998168889431442"/>
        </patternFill>
      </fill>
    </dxf>
    <dxf>
      <fill>
        <patternFill>
          <bgColor theme="0"/>
        </patternFill>
      </fill>
      <border>
        <left style="thin">
          <color rgb="FF00B0F0"/>
        </left>
        <right style="thin">
          <color rgb="FF00B0F0"/>
        </right>
        <top style="thin">
          <color rgb="FF00B0F0"/>
        </top>
        <bottom style="thin">
          <color rgb="FF00B0F0"/>
        </bottom>
        <vertical/>
        <horizontal/>
      </border>
    </dxf>
    <dxf>
      <fill>
        <patternFill>
          <bgColor theme="0"/>
        </patternFill>
      </fill>
      <border>
        <left style="thin">
          <color rgb="FF00B0F0"/>
        </left>
        <right style="thin">
          <color rgb="FF00B0F0"/>
        </right>
        <top style="thin">
          <color rgb="FF00B0F0"/>
        </top>
        <bottom style="thin">
          <color rgb="FF00B0F0"/>
        </bottom>
        <vertical/>
        <horizontal/>
      </border>
    </dxf>
    <dxf>
      <fill>
        <patternFill patternType="none">
          <fgColor indexed="64"/>
          <bgColor auto="1"/>
        </patternFill>
      </fill>
      <border>
        <left style="thin">
          <color rgb="FF00B0F0"/>
        </left>
        <right style="thin">
          <color rgb="FF00B0F0"/>
        </right>
        <top style="thin">
          <color rgb="FF00B0F0"/>
        </top>
        <bottom style="thin">
          <color rgb="FF00B0F0"/>
        </bottom>
        <vertical/>
        <horizontal/>
      </border>
    </dxf>
    <dxf>
      <font>
        <color theme="4" tint="0.79998168889431442"/>
      </font>
      <fill>
        <patternFill>
          <bgColor theme="4" tint="0.79998168889431442"/>
        </patternFill>
      </fill>
    </dxf>
    <dxf>
      <font>
        <color rgb="FFFF0000"/>
      </font>
    </dxf>
    <dxf>
      <font>
        <color rgb="FFFF0000"/>
      </font>
    </dxf>
    <dxf>
      <font>
        <color rgb="FFFF0000"/>
      </font>
    </dxf>
    <dxf>
      <font>
        <b/>
        <i val="0"/>
        <color rgb="FFC00000"/>
      </font>
    </dxf>
    <dxf>
      <font>
        <b/>
        <i val="0"/>
        <color rgb="FF00B050"/>
      </font>
    </dxf>
    <dxf>
      <font>
        <b/>
        <i val="0"/>
        <color rgb="FF00B050"/>
      </font>
    </dxf>
    <dxf>
      <font>
        <b/>
        <i val="0"/>
        <color rgb="FFC00000"/>
      </font>
    </dxf>
    <dxf>
      <font>
        <b/>
        <i val="0"/>
        <color rgb="FF00B050"/>
      </font>
    </dxf>
    <dxf>
      <font>
        <b/>
        <i val="0"/>
        <color rgb="FF00B050"/>
      </font>
    </dxf>
  </dxfs>
  <tableStyles count="0" defaultTableStyle="TableStyleMedium2" defaultPivotStyle="PivotStyleLight16"/>
  <colors>
    <mruColors>
      <color rgb="FF000066"/>
      <color rgb="FFD9E1F2"/>
      <color rgb="FF00B0F0"/>
      <color rgb="FFE1F4FF"/>
      <color rgb="FF7692D0"/>
      <color rgb="FF99CC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tyles" Target="styles.xml"/><Relationship Id="rId18" Type="http://schemas.openxmlformats.org/officeDocument/2006/relationships/customXml" Target="../customXml/item2.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theme" Target="theme/theme1.xml"/><Relationship Id="rId17" Type="http://schemas.openxmlformats.org/officeDocument/2006/relationships/customXml" Target="../customXml/item1.xml"/><Relationship Id="rId2" Type="http://schemas.openxmlformats.org/officeDocument/2006/relationships/worksheet" Target="worksheets/sheet2.xml"/><Relationship Id="rId16" Type="http://schemas.openxmlformats.org/officeDocument/2006/relationships/calcChain" Target="calcChain.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sheetMetadata" Target="metadata.xml"/><Relationship Id="rId10" Type="http://schemas.openxmlformats.org/officeDocument/2006/relationships/worksheet" Target="worksheets/sheet10.xml"/><Relationship Id="rId19" Type="http://schemas.openxmlformats.org/officeDocument/2006/relationships/customXml" Target="../customXml/item3.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sharedStrings" Target="sharedStrings.xml"/></Relationships>
</file>

<file path=xl/drawings/_rels/drawing1.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jpeg"/></Relationships>
</file>

<file path=xl/drawings/_rels/drawing2.xml.rels><?xml version="1.0" encoding="UTF-8" standalone="yes"?>
<Relationships xmlns="http://schemas.openxmlformats.org/package/2006/relationships"><Relationship Id="rId1" Type="http://schemas.openxmlformats.org/officeDocument/2006/relationships/image" Target="../media/image3.jpeg"/></Relationships>
</file>

<file path=xl/drawings/_rels/drawing3.xml.rels><?xml version="1.0" encoding="UTF-8" standalone="yes"?>
<Relationships xmlns="http://schemas.openxmlformats.org/package/2006/relationships"><Relationship Id="rId1" Type="http://schemas.openxmlformats.org/officeDocument/2006/relationships/image" Target="../media/image4.jpeg"/></Relationships>
</file>

<file path=xl/drawings/_rels/drawing4.xml.rels><?xml version="1.0" encoding="UTF-8" standalone="yes"?>
<Relationships xmlns="http://schemas.openxmlformats.org/package/2006/relationships"><Relationship Id="rId1" Type="http://schemas.openxmlformats.org/officeDocument/2006/relationships/image" Target="../media/image5.jpeg"/></Relationships>
</file>

<file path=xl/drawings/_rels/drawing5.xml.rels><?xml version="1.0" encoding="UTF-8" standalone="yes"?>
<Relationships xmlns="http://schemas.openxmlformats.org/package/2006/relationships"><Relationship Id="rId1" Type="http://schemas.openxmlformats.org/officeDocument/2006/relationships/image" Target="../media/image6.jpeg"/></Relationships>
</file>

<file path=xl/drawings/_rels/drawing6.xml.rels><?xml version="1.0" encoding="UTF-8" standalone="yes"?>
<Relationships xmlns="http://schemas.openxmlformats.org/package/2006/relationships"><Relationship Id="rId1" Type="http://schemas.openxmlformats.org/officeDocument/2006/relationships/image" Target="../media/image7.jpeg"/></Relationships>
</file>

<file path=xl/drawings/_rels/drawing7.xml.rels><?xml version="1.0" encoding="UTF-8" standalone="yes"?>
<Relationships xmlns="http://schemas.openxmlformats.org/package/2006/relationships"><Relationship Id="rId1" Type="http://schemas.openxmlformats.org/officeDocument/2006/relationships/image" Target="../media/image8.jpeg"/></Relationships>
</file>

<file path=xl/drawings/drawing1.xml><?xml version="1.0" encoding="utf-8"?>
<xdr:wsDr xmlns:xdr="http://schemas.openxmlformats.org/drawingml/2006/spreadsheetDrawing" xmlns:a="http://schemas.openxmlformats.org/drawingml/2006/main">
  <xdr:twoCellAnchor>
    <xdr:from>
      <xdr:col>0</xdr:col>
      <xdr:colOff>163830</xdr:colOff>
      <xdr:row>0</xdr:row>
      <xdr:rowOff>163829</xdr:rowOff>
    </xdr:from>
    <xdr:to>
      <xdr:col>9</xdr:col>
      <xdr:colOff>609601</xdr:colOff>
      <xdr:row>61</xdr:row>
      <xdr:rowOff>57150</xdr:rowOff>
    </xdr:to>
    <xdr:sp macro="" textlink="">
      <xdr:nvSpPr>
        <xdr:cNvPr id="2" name="Textfeld 1">
          <a:extLst>
            <a:ext uri="{FF2B5EF4-FFF2-40B4-BE49-F238E27FC236}">
              <a16:creationId xmlns:a16="http://schemas.microsoft.com/office/drawing/2014/main" id="{821D018B-91BD-4EA4-B42C-45D8BA11CE9C}"/>
            </a:ext>
          </a:extLst>
        </xdr:cNvPr>
        <xdr:cNvSpPr txBox="1"/>
      </xdr:nvSpPr>
      <xdr:spPr>
        <a:xfrm>
          <a:off x="163830" y="163829"/>
          <a:ext cx="7046596" cy="10932796"/>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lIns="216000" rIns="216000" rtlCol="0" anchor="t"/>
        <a:lstStyle/>
        <a:p>
          <a:pPr>
            <a:spcBef>
              <a:spcPts val="600"/>
            </a:spcBef>
          </a:pPr>
          <a:endParaRPr lang="de-AT" sz="1100" b="1">
            <a:solidFill>
              <a:srgbClr val="00327A"/>
            </a:solidFill>
            <a:effectLst/>
            <a:latin typeface="Calibri" panose="020F0502020204030204" pitchFamily="34" charset="0"/>
            <a:ea typeface="+mn-ea"/>
            <a:cs typeface="Calibri" panose="020F0502020204030204" pitchFamily="34" charset="0"/>
          </a:endParaRPr>
        </a:p>
        <a:p>
          <a:pPr>
            <a:spcBef>
              <a:spcPts val="600"/>
            </a:spcBef>
          </a:pPr>
          <a:endParaRPr lang="de-AT" sz="1100" b="1">
            <a:solidFill>
              <a:srgbClr val="00327A"/>
            </a:solidFill>
            <a:effectLst/>
            <a:latin typeface="Calibri" panose="020F0502020204030204" pitchFamily="34" charset="0"/>
            <a:ea typeface="+mn-ea"/>
            <a:cs typeface="Calibri" panose="020F0502020204030204" pitchFamily="34" charset="0"/>
          </a:endParaRPr>
        </a:p>
        <a:p>
          <a:pPr>
            <a:spcBef>
              <a:spcPts val="600"/>
            </a:spcBef>
          </a:pPr>
          <a:endParaRPr lang="de-AT" sz="1100" b="1">
            <a:solidFill>
              <a:srgbClr val="00327A"/>
            </a:solidFill>
            <a:effectLst/>
            <a:latin typeface="Calibri" panose="020F0502020204030204" pitchFamily="34" charset="0"/>
            <a:ea typeface="+mn-ea"/>
            <a:cs typeface="Calibri" panose="020F0502020204030204" pitchFamily="34" charset="0"/>
          </a:endParaRPr>
        </a:p>
        <a:p>
          <a:pPr>
            <a:spcBef>
              <a:spcPts val="600"/>
            </a:spcBef>
          </a:pPr>
          <a:r>
            <a:rPr lang="de-AT" sz="1100">
              <a:solidFill>
                <a:schemeClr val="dk1"/>
              </a:solidFill>
              <a:effectLst/>
              <a:latin typeface="Calibri" panose="020F0502020204030204" pitchFamily="34" charset="0"/>
              <a:ea typeface="+mn-ea"/>
              <a:cs typeface="Calibri" panose="020F0502020204030204" pitchFamily="34" charset="0"/>
            </a:rPr>
            <a:t/>
          </a:r>
          <a:br>
            <a:rPr lang="de-AT" sz="1100">
              <a:solidFill>
                <a:schemeClr val="dk1"/>
              </a:solidFill>
              <a:effectLst/>
              <a:latin typeface="Calibri" panose="020F0502020204030204" pitchFamily="34" charset="0"/>
              <a:ea typeface="+mn-ea"/>
              <a:cs typeface="Calibri" panose="020F0502020204030204" pitchFamily="34" charset="0"/>
            </a:rPr>
          </a:br>
          <a:r>
            <a:rPr lang="de-AT" sz="1100" b="1">
              <a:solidFill>
                <a:srgbClr val="00327A"/>
              </a:solidFill>
              <a:effectLst/>
              <a:latin typeface="Calibri" panose="020F0502020204030204" pitchFamily="34" charset="0"/>
              <a:ea typeface="+mn-ea"/>
              <a:cs typeface="Calibri" panose="020F0502020204030204" pitchFamily="34" charset="0"/>
            </a:rPr>
            <a:t>Berechnungshilfe für Basisstufe 1 </a:t>
          </a:r>
        </a:p>
        <a:p>
          <a:r>
            <a:rPr lang="de-AT" sz="1100" i="0">
              <a:solidFill>
                <a:srgbClr val="00327A"/>
              </a:solidFill>
              <a:effectLst/>
              <a:latin typeface="Calibri" panose="020F0502020204030204" pitchFamily="34" charset="0"/>
              <a:ea typeface="+mn-ea"/>
              <a:cs typeface="Calibri" panose="020F0502020204030204" pitchFamily="34" charset="0"/>
            </a:rPr>
            <a:t>Es sind ausschließlich die blau umrandeten Eingabefelder in der Excel-Datei auszufüllen:</a:t>
          </a:r>
        </a:p>
        <a:p>
          <a:endParaRPr lang="de-AT" sz="1100" i="0">
            <a:solidFill>
              <a:srgbClr val="00327A"/>
            </a:solidFill>
            <a:effectLst/>
            <a:latin typeface="Calibri" panose="020F0502020204030204" pitchFamily="34" charset="0"/>
            <a:ea typeface="+mn-ea"/>
            <a:cs typeface="Calibri" panose="020F0502020204030204" pitchFamily="34" charset="0"/>
          </a:endParaRPr>
        </a:p>
        <a:p>
          <a:pPr marL="0" indent="0"/>
          <a:r>
            <a:rPr lang="de-AT" sz="1100" b="1">
              <a:solidFill>
                <a:srgbClr val="00327A"/>
              </a:solidFill>
              <a:effectLst/>
              <a:latin typeface="Calibri" panose="020F0502020204030204" pitchFamily="34" charset="0"/>
              <a:ea typeface="+mn-ea"/>
              <a:cs typeface="Calibri" panose="020F0502020204030204" pitchFamily="34" charset="0"/>
            </a:rPr>
            <a:t>Tabellenblatt 1: Strom,</a:t>
          </a:r>
          <a:r>
            <a:rPr lang="de-AT" sz="1100" b="1" baseline="0">
              <a:solidFill>
                <a:srgbClr val="00327A"/>
              </a:solidFill>
              <a:effectLst/>
              <a:latin typeface="Calibri" panose="020F0502020204030204" pitchFamily="34" charset="0"/>
              <a:ea typeface="+mn-ea"/>
              <a:cs typeface="Calibri" panose="020F0502020204030204" pitchFamily="34" charset="0"/>
            </a:rPr>
            <a:t> </a:t>
          </a:r>
          <a:r>
            <a:rPr lang="de-AT" sz="1100" b="1">
              <a:solidFill>
                <a:srgbClr val="00327A"/>
              </a:solidFill>
              <a:effectLst/>
              <a:latin typeface="Calibri" panose="020F0502020204030204" pitchFamily="34" charset="0"/>
              <a:ea typeface="+mn-ea"/>
              <a:cs typeface="Calibri" panose="020F0502020204030204" pitchFamily="34" charset="0"/>
            </a:rPr>
            <a:t>Erdgas und Wärme/Kälte 2021</a:t>
          </a:r>
        </a:p>
        <a:p>
          <a:r>
            <a:rPr lang="de-AT" sz="1100" i="0">
              <a:solidFill>
                <a:srgbClr val="00327A"/>
              </a:solidFill>
              <a:effectLst/>
              <a:latin typeface="Calibri" panose="020F0502020204030204" pitchFamily="34" charset="0"/>
              <a:ea typeface="+mn-ea"/>
              <a:cs typeface="Calibri" panose="020F0502020204030204" pitchFamily="34" charset="0"/>
            </a:rPr>
            <a:t>Um eventuelle Preissteigerungen von Strom,</a:t>
          </a:r>
          <a:r>
            <a:rPr lang="de-AT" sz="1100" i="0" baseline="0">
              <a:solidFill>
                <a:srgbClr val="00327A"/>
              </a:solidFill>
              <a:effectLst/>
              <a:latin typeface="Calibri" panose="020F0502020204030204" pitchFamily="34" charset="0"/>
              <a:ea typeface="+mn-ea"/>
              <a:cs typeface="Calibri" panose="020F0502020204030204" pitchFamily="34" charset="0"/>
            </a:rPr>
            <a:t> </a:t>
          </a:r>
          <a:r>
            <a:rPr lang="de-AT" sz="1100" i="0">
              <a:solidFill>
                <a:srgbClr val="00327A"/>
              </a:solidFill>
              <a:effectLst/>
              <a:latin typeface="Calibri" panose="020F0502020204030204" pitchFamily="34" charset="0"/>
              <a:ea typeface="+mn-ea"/>
              <a:cs typeface="Calibri" panose="020F0502020204030204" pitchFamily="34" charset="0"/>
            </a:rPr>
            <a:t>Erdgas und Wärme/Kälte ermitteln zu können, werden im ersten Schritt Angaben aus der</a:t>
          </a:r>
          <a:r>
            <a:rPr lang="de-AT" sz="1100" i="0" baseline="0">
              <a:solidFill>
                <a:srgbClr val="00327A"/>
              </a:solidFill>
              <a:effectLst/>
              <a:latin typeface="Calibri" panose="020F0502020204030204" pitchFamily="34" charset="0"/>
              <a:ea typeface="+mn-ea"/>
              <a:cs typeface="Calibri" panose="020F0502020204030204" pitchFamily="34" charset="0"/>
            </a:rPr>
            <a:t> </a:t>
          </a:r>
          <a:r>
            <a:rPr lang="de-AT" sz="1100" i="0">
              <a:solidFill>
                <a:srgbClr val="00327A"/>
              </a:solidFill>
              <a:effectLst/>
              <a:latin typeface="Calibri" panose="020F0502020204030204" pitchFamily="34" charset="0"/>
              <a:ea typeface="+mn-ea"/>
              <a:cs typeface="Calibri" panose="020F0502020204030204" pitchFamily="34" charset="0"/>
            </a:rPr>
            <a:t>Jahresabrechnung 2021 bzw. die Summe der monatlichen Abrechnungen vom</a:t>
          </a:r>
          <a:r>
            <a:rPr lang="de-AT" sz="1100" i="0" baseline="0">
              <a:solidFill>
                <a:srgbClr val="00327A"/>
              </a:solidFill>
              <a:effectLst/>
              <a:latin typeface="Calibri" panose="020F0502020204030204" pitchFamily="34" charset="0"/>
              <a:ea typeface="+mn-ea"/>
              <a:cs typeface="Calibri" panose="020F0502020204030204" pitchFamily="34" charset="0"/>
            </a:rPr>
            <a:t> Jahr 2021 </a:t>
          </a:r>
          <a:r>
            <a:rPr lang="de-AT" sz="1100" i="0">
              <a:solidFill>
                <a:srgbClr val="00327A"/>
              </a:solidFill>
              <a:effectLst/>
              <a:latin typeface="Calibri" panose="020F0502020204030204" pitchFamily="34" charset="0"/>
              <a:ea typeface="+mn-ea"/>
              <a:cs typeface="Calibri" panose="020F0502020204030204" pitchFamily="34" charset="0"/>
            </a:rPr>
            <a:t>zu Strom-,</a:t>
          </a:r>
          <a:r>
            <a:rPr lang="de-AT" sz="1100" i="0" baseline="0">
              <a:solidFill>
                <a:srgbClr val="00327A"/>
              </a:solidFill>
              <a:effectLst/>
              <a:latin typeface="Calibri" panose="020F0502020204030204" pitchFamily="34" charset="0"/>
              <a:ea typeface="+mn-ea"/>
              <a:cs typeface="Calibri" panose="020F0502020204030204" pitchFamily="34" charset="0"/>
            </a:rPr>
            <a:t> </a:t>
          </a:r>
          <a:r>
            <a:rPr lang="de-AT" sz="1100" i="0">
              <a:solidFill>
                <a:srgbClr val="00327A"/>
              </a:solidFill>
              <a:effectLst/>
              <a:latin typeface="Calibri" panose="020F0502020204030204" pitchFamily="34" charset="0"/>
              <a:ea typeface="+mn-ea"/>
              <a:cs typeface="Calibri" panose="020F0502020204030204" pitchFamily="34" charset="0"/>
            </a:rPr>
            <a:t>Erdgas- und Wärme/Kälte benötigt.</a:t>
          </a:r>
        </a:p>
        <a:p>
          <a:r>
            <a:rPr lang="de-AT" sz="1100" i="0">
              <a:solidFill>
                <a:srgbClr val="00327A"/>
              </a:solidFill>
              <a:effectLst/>
              <a:latin typeface="Calibri" panose="020F0502020204030204" pitchFamily="34" charset="0"/>
              <a:ea typeface="+mn-ea"/>
              <a:cs typeface="Calibri" panose="020F0502020204030204" pitchFamily="34" charset="0"/>
            </a:rPr>
            <a:t>Das Tabellenblatt 1 beinhaltet mehrere Abschnitte für Zählpunkte, wobei mittels Drop-down Menü die Energieart (Strom, Erdgas oder</a:t>
          </a:r>
          <a:r>
            <a:rPr lang="de-AT" sz="1100" i="0" baseline="0">
              <a:solidFill>
                <a:srgbClr val="00327A"/>
              </a:solidFill>
              <a:effectLst/>
              <a:latin typeface="Calibri" panose="020F0502020204030204" pitchFamily="34" charset="0"/>
              <a:ea typeface="+mn-ea"/>
              <a:cs typeface="Calibri" panose="020F0502020204030204" pitchFamily="34" charset="0"/>
            </a:rPr>
            <a:t> Wärme/Kälte</a:t>
          </a:r>
          <a:r>
            <a:rPr lang="de-AT" sz="1100" i="0">
              <a:solidFill>
                <a:srgbClr val="00327A"/>
              </a:solidFill>
              <a:effectLst/>
              <a:latin typeface="Calibri" panose="020F0502020204030204" pitchFamily="34" charset="0"/>
              <a:ea typeface="+mn-ea"/>
              <a:cs typeface="Calibri" panose="020F0502020204030204" pitchFamily="34" charset="0"/>
            </a:rPr>
            <a:t>) und das Vorhandensein eines Lastprofilzählers oder genormten intelligenten Messgeräts mit monatlicher Abrechnung (Ja/Nein) ausgewählt wird. Liegt nur eine Jahresabrechnung vor, ist hier "Nein" auszuwählen (eine monatliche</a:t>
          </a:r>
          <a:r>
            <a:rPr lang="de-AT" sz="1100" i="0" baseline="0">
              <a:solidFill>
                <a:srgbClr val="00327A"/>
              </a:solidFill>
              <a:effectLst/>
              <a:latin typeface="Calibri" panose="020F0502020204030204" pitchFamily="34" charset="0"/>
              <a:ea typeface="+mn-ea"/>
              <a:cs typeface="Calibri" panose="020F0502020204030204" pitchFamily="34" charset="0"/>
            </a:rPr>
            <a:t> Vorschreibung mit anschließender Jahresabrechnung ist als Jahresabrechnung zu behandeln</a:t>
          </a:r>
          <a:r>
            <a:rPr lang="de-AT" sz="1100" i="0">
              <a:solidFill>
                <a:srgbClr val="00327A"/>
              </a:solidFill>
              <a:effectLst/>
              <a:latin typeface="Calibri" panose="020F0502020204030204" pitchFamily="34" charset="0"/>
              <a:ea typeface="+mn-ea"/>
              <a:cs typeface="Calibri" panose="020F0502020204030204" pitchFamily="34" charset="0"/>
            </a:rPr>
            <a:t>). Bei monatlicher Abrechnung "Ja".</a:t>
          </a:r>
        </a:p>
        <a:p>
          <a:r>
            <a:rPr lang="de-AT" sz="1100" i="0">
              <a:solidFill>
                <a:srgbClr val="00327A"/>
              </a:solidFill>
              <a:effectLst/>
              <a:latin typeface="Calibri" panose="020F0502020204030204" pitchFamily="34" charset="0"/>
              <a:ea typeface="+mn-ea"/>
              <a:cs typeface="Calibri" panose="020F0502020204030204" pitchFamily="34" charset="0"/>
            </a:rPr>
            <a:t>Pro Zählpunkt ist der Nettorechnungsbetrag (Kosten für die verbrauchten Kilowattstunden Strom, Erdgas</a:t>
          </a:r>
          <a:r>
            <a:rPr lang="de-AT" sz="1100" i="0" baseline="0">
              <a:solidFill>
                <a:srgbClr val="00327A"/>
              </a:solidFill>
              <a:effectLst/>
              <a:latin typeface="Calibri" panose="020F0502020204030204" pitchFamily="34" charset="0"/>
              <a:ea typeface="+mn-ea"/>
              <a:cs typeface="Calibri" panose="020F0502020204030204" pitchFamily="34" charset="0"/>
            </a:rPr>
            <a:t> bzw. Wärme/Kälte</a:t>
          </a:r>
          <a:r>
            <a:rPr lang="de-AT" sz="1100" i="0">
              <a:solidFill>
                <a:srgbClr val="00327A"/>
              </a:solidFill>
              <a:effectLst/>
              <a:latin typeface="Calibri" panose="020F0502020204030204" pitchFamily="34" charset="0"/>
              <a:ea typeface="+mn-ea"/>
              <a:cs typeface="Calibri" panose="020F0502020204030204" pitchFamily="34" charset="0"/>
            </a:rPr>
            <a:t> exkl. Steuern, Abgaben Netzentgelte, etc. in EUR = Energie-Verbrauchspreis lt. Energierechnung) und der Stromverbrauch,</a:t>
          </a:r>
          <a:r>
            <a:rPr lang="de-AT" sz="1100" i="0" baseline="0">
              <a:solidFill>
                <a:srgbClr val="00327A"/>
              </a:solidFill>
              <a:effectLst/>
              <a:latin typeface="Calibri" panose="020F0502020204030204" pitchFamily="34" charset="0"/>
              <a:ea typeface="+mn-ea"/>
              <a:cs typeface="Calibri" panose="020F0502020204030204" pitchFamily="34" charset="0"/>
            </a:rPr>
            <a:t> </a:t>
          </a:r>
          <a:r>
            <a:rPr lang="de-AT" sz="1100" i="0">
              <a:solidFill>
                <a:srgbClr val="00327A"/>
              </a:solidFill>
              <a:effectLst/>
              <a:latin typeface="Calibri" panose="020F0502020204030204" pitchFamily="34" charset="0"/>
              <a:ea typeface="+mn-ea"/>
              <a:cs typeface="Calibri" panose="020F0502020204030204" pitchFamily="34" charset="0"/>
            </a:rPr>
            <a:t> Erdgasverbrauch oder Wärme-/Kälteverbrauch (laut letzter Jahresabrechnung oder anhand der monatlichen Rechnungen im Kalenderjahr 2021) einzugeben. </a:t>
          </a:r>
        </a:p>
        <a:p>
          <a:r>
            <a:rPr lang="de-AT" sz="1100" i="0">
              <a:solidFill>
                <a:srgbClr val="00327A"/>
              </a:solidFill>
              <a:effectLst/>
              <a:latin typeface="Calibri" panose="020F0502020204030204" pitchFamily="34" charset="0"/>
              <a:ea typeface="+mn-ea"/>
              <a:cs typeface="Calibri" panose="020F0502020204030204" pitchFamily="34" charset="0"/>
            </a:rPr>
            <a:t>Mehrere Zählpunkte mit identem Tarif können mit einer fiktiven Zählpunktnummer zusammengefasst werden (beispielsweise 1111 für Strom und 2222 für Erdgas).</a:t>
          </a:r>
        </a:p>
        <a:p>
          <a:r>
            <a:rPr lang="de-AT" sz="1100" i="0">
              <a:solidFill>
                <a:srgbClr val="00327A"/>
              </a:solidFill>
              <a:effectLst/>
              <a:latin typeface="Calibri" panose="020F0502020204030204" pitchFamily="34" charset="0"/>
              <a:ea typeface="+mn-ea"/>
              <a:cs typeface="Calibri" panose="020F0502020204030204" pitchFamily="34" charset="0"/>
            </a:rPr>
            <a:t> </a:t>
          </a:r>
        </a:p>
        <a:p>
          <a:pPr marL="0" indent="0"/>
          <a:r>
            <a:rPr lang="de-AT" sz="1100" b="1">
              <a:solidFill>
                <a:srgbClr val="00327A"/>
              </a:solidFill>
              <a:effectLst/>
              <a:latin typeface="Calibri" panose="020F0502020204030204" pitchFamily="34" charset="0"/>
              <a:ea typeface="+mn-ea"/>
              <a:cs typeface="Calibri" panose="020F0502020204030204" pitchFamily="34" charset="0"/>
            </a:rPr>
            <a:t>Tabellenblatt 2: Strom</a:t>
          </a:r>
          <a:r>
            <a:rPr lang="de-AT" sz="1100" b="1" baseline="0">
              <a:solidFill>
                <a:srgbClr val="00327A"/>
              </a:solidFill>
              <a:effectLst/>
              <a:latin typeface="Calibri" panose="020F0502020204030204" pitchFamily="34" charset="0"/>
              <a:ea typeface="+mn-ea"/>
              <a:cs typeface="Calibri" panose="020F0502020204030204" pitchFamily="34" charset="0"/>
            </a:rPr>
            <a:t>, </a:t>
          </a:r>
          <a:r>
            <a:rPr lang="de-AT" sz="1100" b="1">
              <a:solidFill>
                <a:srgbClr val="00327A"/>
              </a:solidFill>
              <a:effectLst/>
              <a:latin typeface="Calibri" panose="020F0502020204030204" pitchFamily="34" charset="0"/>
              <a:ea typeface="+mn-ea"/>
              <a:cs typeface="Calibri" panose="020F0502020204030204" pitchFamily="34" charset="0"/>
            </a:rPr>
            <a:t>Erdgas und Wärme/Kälte 2023</a:t>
          </a:r>
        </a:p>
        <a:p>
          <a:r>
            <a:rPr lang="de-AT" sz="1100" i="0">
              <a:solidFill>
                <a:srgbClr val="00327A"/>
              </a:solidFill>
              <a:effectLst/>
              <a:latin typeface="Calibri" panose="020F0502020204030204" pitchFamily="34" charset="0"/>
              <a:ea typeface="+mn-ea"/>
              <a:cs typeface="Calibri" panose="020F0502020204030204" pitchFamily="34" charset="0"/>
            </a:rPr>
            <a:t>Im zweiten Schritt wird der Durchschnittsarbeitspreis im Förderzeitraum berechnet und die Preissteigerung im Vergleich zu den eingegebenen Daten aus dem Tabellenblatt 1 ermittelt. Die Zählpunkte in den jeweiligen Tabellenblättern werden über die letzten vier Stellen der Zählpunktnummer (Zählpunkbezeichnung – beginnt mit AT und verfügt über 33-Stellen) identifiziert. Achten Sie dabei auf idente Angaben in den Tabellenblättern.</a:t>
          </a:r>
        </a:p>
        <a:p>
          <a:endParaRPr lang="de-AT" sz="1100" i="0">
            <a:solidFill>
              <a:srgbClr val="00327A"/>
            </a:solidFill>
            <a:effectLst/>
            <a:latin typeface="Calibri" panose="020F0502020204030204" pitchFamily="34" charset="0"/>
            <a:ea typeface="+mn-ea"/>
            <a:cs typeface="Calibri" panose="020F0502020204030204" pitchFamily="34" charset="0"/>
          </a:endParaRPr>
        </a:p>
        <a:p>
          <a:r>
            <a:rPr lang="de-AT" sz="1100" i="0">
              <a:solidFill>
                <a:srgbClr val="00327A"/>
              </a:solidFill>
              <a:effectLst/>
              <a:latin typeface="Calibri" panose="020F0502020204030204" pitchFamily="34" charset="0"/>
              <a:ea typeface="+mn-ea"/>
              <a:cs typeface="Calibri" panose="020F0502020204030204" pitchFamily="34" charset="0"/>
            </a:rPr>
            <a:t>Für die Ermittlung der Preissteigerung und die Berechnung des Durchschnittsarbeitspreises bzw. Energiemixes sind monatliche Angaben zum Arbeitspreis bzw. Energiemix (Strom-, Erdgas-</a:t>
          </a:r>
          <a:r>
            <a:rPr lang="de-AT" sz="1100" i="0" baseline="0">
              <a:solidFill>
                <a:srgbClr val="00327A"/>
              </a:solidFill>
              <a:effectLst/>
              <a:latin typeface="Calibri" panose="020F0502020204030204" pitchFamily="34" charset="0"/>
              <a:ea typeface="+mn-ea"/>
              <a:cs typeface="Calibri" panose="020F0502020204030204" pitchFamily="34" charset="0"/>
            </a:rPr>
            <a:t> bzw. Wärme-Kältekosten</a:t>
          </a:r>
          <a:r>
            <a:rPr lang="de-AT" sz="1100" i="0">
              <a:solidFill>
                <a:srgbClr val="00327A"/>
              </a:solidFill>
              <a:effectLst/>
              <a:latin typeface="Calibri" panose="020F0502020204030204" pitchFamily="34" charset="0"/>
              <a:ea typeface="+mn-ea"/>
              <a:cs typeface="Calibri" panose="020F0502020204030204" pitchFamily="34" charset="0"/>
            </a:rPr>
            <a:t> exkl. Steuern, Abgaben, Netzentgelte, etc.) und zum Strom-, Erdgas- bzw. Wärme/Kälteverbrauch im Förderungszeitraum (01.01.2023 bis 30.06.2023) erforderlich. Die monatlichen Verbrauchsangaben werden bei der Auswahl NEIN anhand der Angaben zur letzten Jahresabrechnung automatisch errechnet (Hochrechnungsmodus gem. Richtlinie). Andernfalls müssen die monatlichen Verbräuche anhand der Monats-Energierechnungen im Förderungszeitraum eingetragen werden. Die durchschnittlichen Arbeitspreise im jeweiligen Monat sind jedenfalls einzutragen. Der durchschnittliche Energiemixanteil im jeweiligen Monat (Anteil an Wärme/Dampf,</a:t>
          </a:r>
          <a:r>
            <a:rPr lang="de-AT" sz="1100" i="0" baseline="0">
              <a:solidFill>
                <a:srgbClr val="00327A"/>
              </a:solidFill>
              <a:effectLst/>
              <a:latin typeface="Calibri" panose="020F0502020204030204" pitchFamily="34" charset="0"/>
              <a:ea typeface="+mn-ea"/>
              <a:cs typeface="Calibri" panose="020F0502020204030204" pitchFamily="34" charset="0"/>
            </a:rPr>
            <a:t> der aus Strom, Erdgas bzw. Hackschnitzel/Holzpellets/Heizöl </a:t>
          </a:r>
          <a:r>
            <a:rPr lang="de-AT" sz="1100" i="0">
              <a:solidFill>
                <a:srgbClr val="00327A"/>
              </a:solidFill>
              <a:effectLst/>
              <a:latin typeface="Calibri" panose="020F0502020204030204" pitchFamily="34" charset="0"/>
              <a:ea typeface="+mn-ea"/>
              <a:cs typeface="Calibri" panose="020F0502020204030204" pitchFamily="34" charset="0"/>
            </a:rPr>
            <a:t>erzeugt wird) ist einzutragen und es wird der</a:t>
          </a:r>
          <a:r>
            <a:rPr lang="de-AT" sz="1100" i="0" baseline="0">
              <a:solidFill>
                <a:srgbClr val="00327A"/>
              </a:solidFill>
              <a:effectLst/>
              <a:latin typeface="Calibri" panose="020F0502020204030204" pitchFamily="34" charset="0"/>
              <a:ea typeface="+mn-ea"/>
              <a:cs typeface="Calibri" panose="020F0502020204030204" pitchFamily="34" charset="0"/>
            </a:rPr>
            <a:t> gewichtete Anteil in % ermittelt. </a:t>
          </a:r>
          <a:endParaRPr lang="de-AT" sz="1100" i="0">
            <a:solidFill>
              <a:srgbClr val="00327A"/>
            </a:solidFill>
            <a:effectLst/>
            <a:latin typeface="Calibri" panose="020F0502020204030204" pitchFamily="34" charset="0"/>
            <a:ea typeface="+mn-ea"/>
            <a:cs typeface="Calibri" panose="020F0502020204030204" pitchFamily="34" charset="0"/>
          </a:endParaRPr>
        </a:p>
        <a:p>
          <a:endParaRPr lang="de-AT" sz="1100" i="0">
            <a:solidFill>
              <a:srgbClr val="00327A"/>
            </a:solidFill>
            <a:effectLst/>
            <a:latin typeface="Calibri" panose="020F0502020204030204" pitchFamily="34" charset="0"/>
            <a:ea typeface="+mn-ea"/>
            <a:cs typeface="Calibri" panose="020F0502020204030204" pitchFamily="34" charset="0"/>
          </a:endParaRPr>
        </a:p>
        <a:p>
          <a:pPr marL="0" indent="0"/>
          <a:r>
            <a:rPr lang="de-AT" sz="1100" b="1">
              <a:solidFill>
                <a:srgbClr val="00327A"/>
              </a:solidFill>
              <a:effectLst/>
              <a:latin typeface="Calibri" panose="020F0502020204030204" pitchFamily="34" charset="0"/>
              <a:ea typeface="+mn-ea"/>
              <a:cs typeface="Calibri" panose="020F0502020204030204" pitchFamily="34" charset="0"/>
            </a:rPr>
            <a:t>Tabellenblätter</a:t>
          </a:r>
          <a:r>
            <a:rPr lang="de-AT" sz="1100" b="1" baseline="0">
              <a:solidFill>
                <a:srgbClr val="00327A"/>
              </a:solidFill>
              <a:effectLst/>
              <a:latin typeface="Calibri" panose="020F0502020204030204" pitchFamily="34" charset="0"/>
              <a:ea typeface="+mn-ea"/>
              <a:cs typeface="Calibri" panose="020F0502020204030204" pitchFamily="34" charset="0"/>
            </a:rPr>
            <a:t> 3: Treibstoffe</a:t>
          </a:r>
          <a:endParaRPr lang="de-AT" sz="1100" b="1">
            <a:solidFill>
              <a:srgbClr val="00327A"/>
            </a:solidFill>
            <a:effectLst/>
            <a:latin typeface="Calibri" panose="020F0502020204030204" pitchFamily="34" charset="0"/>
            <a:ea typeface="+mn-ea"/>
            <a:cs typeface="Calibri" panose="020F0502020204030204" pitchFamily="34" charset="0"/>
          </a:endParaRPr>
        </a:p>
        <a:p>
          <a:r>
            <a:rPr lang="de-AT" sz="1100" i="0">
              <a:solidFill>
                <a:srgbClr val="00327A"/>
              </a:solidFill>
              <a:effectLst/>
              <a:latin typeface="Calibri" panose="020F0502020204030204" pitchFamily="34" charset="0"/>
              <a:ea typeface="+mn-ea"/>
              <a:cs typeface="Calibri" panose="020F0502020204030204" pitchFamily="34" charset="0"/>
            </a:rPr>
            <a:t>Im dritten Schritt werden Angaben zu Treibstoffen im Förderungszeitraum, nämlich die Netto-/Bruttorechnungsbeträge</a:t>
          </a:r>
          <a:r>
            <a:rPr lang="de-AT" sz="1100" i="0" baseline="0">
              <a:solidFill>
                <a:srgbClr val="00327A"/>
              </a:solidFill>
              <a:effectLst/>
              <a:latin typeface="Calibri" panose="020F0502020204030204" pitchFamily="34" charset="0"/>
              <a:ea typeface="+mn-ea"/>
              <a:cs typeface="Calibri" panose="020F0502020204030204" pitchFamily="34" charset="0"/>
            </a:rPr>
            <a:t> in </a:t>
          </a:r>
          <a:r>
            <a:rPr lang="de-AT" sz="1100" i="0">
              <a:solidFill>
                <a:srgbClr val="00327A"/>
              </a:solidFill>
              <a:effectLst/>
              <a:latin typeface="Calibri" panose="020F0502020204030204" pitchFamily="34" charset="0"/>
              <a:ea typeface="+mn-ea"/>
              <a:cs typeface="Calibri" panose="020F0502020204030204" pitchFamily="34" charset="0"/>
            </a:rPr>
            <a:t>Euro und der Verbrauch in Liter im Förderzeitraum (01.01.2023 </a:t>
          </a:r>
          <a:r>
            <a:rPr lang="de-AT" sz="1100" i="0" baseline="0">
              <a:solidFill>
                <a:srgbClr val="00327A"/>
              </a:solidFill>
              <a:effectLst/>
              <a:latin typeface="Calibri" panose="020F0502020204030204" pitchFamily="34" charset="0"/>
              <a:ea typeface="+mn-ea"/>
              <a:cs typeface="Calibri" panose="020F0502020204030204" pitchFamily="34" charset="0"/>
            </a:rPr>
            <a:t>bis 30.06.2023) </a:t>
          </a:r>
          <a:r>
            <a:rPr lang="de-AT" sz="1100" i="0">
              <a:solidFill>
                <a:srgbClr val="00327A"/>
              </a:solidFill>
              <a:effectLst/>
              <a:latin typeface="Calibri" panose="020F0502020204030204" pitchFamily="34" charset="0"/>
              <a:ea typeface="+mn-ea"/>
              <a:cs typeface="Calibri" panose="020F0502020204030204" pitchFamily="34" charset="0"/>
            </a:rPr>
            <a:t>benötigt. Hierbei sind sämtliche Rechnungen für den förderungsfähigen Zeitraum in die Tabelle einzutragen.</a:t>
          </a:r>
        </a:p>
        <a:p>
          <a:r>
            <a:rPr lang="de-AT" sz="1100" i="0">
              <a:solidFill>
                <a:srgbClr val="00327A"/>
              </a:solidFill>
              <a:effectLst/>
              <a:latin typeface="Calibri" panose="020F0502020204030204" pitchFamily="34" charset="0"/>
              <a:ea typeface="+mn-ea"/>
              <a:cs typeface="Calibri" panose="020F0502020204030204" pitchFamily="34" charset="0"/>
            </a:rPr>
            <a:t>Es sind alle Felder, die benötigt werden, auszufüllen. Wenn es sich um eine Position handelt, die nicht vorsteuerabzugsberechtigt ist, dann ist der Wert der entsprechenden Spalte auf "Nein" zu ändern. Wenn es sich um eine Position mit Treibstoffspezifikation</a:t>
          </a:r>
          <a:r>
            <a:rPr lang="de-AT" sz="1100" i="0" baseline="0">
              <a:solidFill>
                <a:srgbClr val="00327A"/>
              </a:solidFill>
              <a:effectLst/>
              <a:latin typeface="Calibri" panose="020F0502020204030204" pitchFamily="34" charset="0"/>
              <a:ea typeface="+mn-ea"/>
              <a:cs typeface="Calibri" panose="020F0502020204030204" pitchFamily="34" charset="0"/>
            </a:rPr>
            <a:t> "Diesel B0" bzw. "Benzin E0" </a:t>
          </a:r>
          <a:r>
            <a:rPr lang="de-AT" sz="1100" i="0">
              <a:solidFill>
                <a:srgbClr val="00327A"/>
              </a:solidFill>
              <a:effectLst/>
              <a:latin typeface="Calibri" panose="020F0502020204030204" pitchFamily="34" charset="0"/>
              <a:ea typeface="+mn-ea"/>
              <a:cs typeface="Calibri" panose="020F0502020204030204" pitchFamily="34" charset="0"/>
            </a:rPr>
            <a:t>handelt, dann ist in der entsprechenden Spalte eine</a:t>
          </a:r>
          <a:r>
            <a:rPr lang="de-AT" sz="1100" i="0" baseline="0">
              <a:solidFill>
                <a:srgbClr val="00327A"/>
              </a:solidFill>
              <a:effectLst/>
              <a:latin typeface="Calibri" panose="020F0502020204030204" pitchFamily="34" charset="0"/>
              <a:ea typeface="+mn-ea"/>
              <a:cs typeface="Calibri" panose="020F0502020204030204" pitchFamily="34" charset="0"/>
            </a:rPr>
            <a:t> Auswahl zu treffen</a:t>
          </a:r>
          <a:r>
            <a:rPr lang="de-AT" sz="1100" i="0">
              <a:solidFill>
                <a:srgbClr val="00327A"/>
              </a:solidFill>
              <a:effectLst/>
              <a:latin typeface="Calibri" panose="020F0502020204030204" pitchFamily="34" charset="0"/>
              <a:ea typeface="+mn-ea"/>
              <a:cs typeface="Calibri" panose="020F0502020204030204" pitchFamily="34" charset="0"/>
            </a:rPr>
            <a:t>. Die eingegebenen Daten werden automatisch in das Berechnungsblatt</a:t>
          </a:r>
          <a:r>
            <a:rPr lang="de-AT" sz="1100" i="0" baseline="0">
              <a:solidFill>
                <a:srgbClr val="00327A"/>
              </a:solidFill>
              <a:effectLst/>
              <a:latin typeface="Calibri" panose="020F0502020204030204" pitchFamily="34" charset="0"/>
              <a:ea typeface="+mn-ea"/>
              <a:cs typeface="Calibri" panose="020F0502020204030204" pitchFamily="34" charset="0"/>
            </a:rPr>
            <a:t> "3 - Treibstoffe" </a:t>
          </a:r>
          <a:r>
            <a:rPr lang="de-AT" sz="1100" i="0">
              <a:solidFill>
                <a:srgbClr val="00327A"/>
              </a:solidFill>
              <a:effectLst/>
              <a:latin typeface="Calibri" panose="020F0502020204030204" pitchFamily="34" charset="0"/>
              <a:ea typeface="+mn-ea"/>
              <a:cs typeface="Calibri" panose="020F0502020204030204" pitchFamily="34" charset="0"/>
            </a:rPr>
            <a:t>übernommen und der förderungsfähige Preis</a:t>
          </a:r>
          <a:r>
            <a:rPr lang="de-AT" sz="1100" i="0" baseline="0">
              <a:solidFill>
                <a:srgbClr val="00327A"/>
              </a:solidFill>
              <a:effectLst/>
              <a:latin typeface="Calibri" panose="020F0502020204030204" pitchFamily="34" charset="0"/>
              <a:ea typeface="+mn-ea"/>
              <a:cs typeface="Calibri" panose="020F0502020204030204" pitchFamily="34" charset="0"/>
            </a:rPr>
            <a:t> ermittelt. </a:t>
          </a:r>
        </a:p>
        <a:p>
          <a:endParaRPr lang="de-AT" sz="1100" i="0" baseline="0">
            <a:solidFill>
              <a:srgbClr val="00327A"/>
            </a:solidFill>
            <a:effectLst/>
            <a:latin typeface="Calibri" panose="020F0502020204030204" pitchFamily="34" charset="0"/>
            <a:ea typeface="+mn-ea"/>
            <a:cs typeface="Calibri" panose="020F0502020204030204" pitchFamily="34" charset="0"/>
          </a:endParaRPr>
        </a:p>
        <a:p>
          <a:r>
            <a:rPr lang="de-AT" sz="1100" b="1" baseline="0">
              <a:solidFill>
                <a:srgbClr val="00327A"/>
              </a:solidFill>
              <a:effectLst/>
              <a:latin typeface="Calibri" panose="020F0502020204030204" pitchFamily="34" charset="0"/>
              <a:ea typeface="+mn-ea"/>
              <a:cs typeface="Calibri" panose="020F0502020204030204" pitchFamily="34" charset="0"/>
            </a:rPr>
            <a:t>Tabellenblätter 4: Heizöl/Holzpellets/Hackschnitzel</a:t>
          </a:r>
        </a:p>
        <a:p>
          <a:r>
            <a:rPr lang="de-AT" sz="1100" i="0">
              <a:solidFill>
                <a:srgbClr val="00327A"/>
              </a:solidFill>
              <a:effectLst/>
              <a:latin typeface="Calibri" panose="020F0502020204030204" pitchFamily="34" charset="0"/>
              <a:ea typeface="+mn-ea"/>
              <a:cs typeface="Calibri" panose="020F0502020204030204" pitchFamily="34" charset="0"/>
            </a:rPr>
            <a:t>Im Tabellenblatt 4 können die Energieformen Heizöl, Holzpellets und Hackschnitzel mittels eines Drop-down Menüs ausgewählt werden. Abhängig von den ausgewählten Energieformen, wird mit der Durchschnittspreisermittlung und der Ermittlung der förderungsfähigen Menge fortgefahren.</a:t>
          </a:r>
        </a:p>
        <a:p>
          <a:pPr marL="0" indent="0"/>
          <a:r>
            <a:rPr lang="de-AT" sz="1100" i="0">
              <a:solidFill>
                <a:srgbClr val="00327A"/>
              </a:solidFill>
              <a:effectLst/>
              <a:latin typeface="Calibri" panose="020F0502020204030204" pitchFamily="34" charset="0"/>
              <a:ea typeface="+mn-ea"/>
              <a:cs typeface="Calibri" panose="020F0502020204030204" pitchFamily="34" charset="0"/>
            </a:rPr>
            <a:t>Es ist zudem anzugeben ob es sich um ein Vorsteuer-abzugsberechtigtes Unternehmen handelt. Im Bereich "Durchschnittspreisermittlung" sind jeweils die </a:t>
          </a:r>
          <a:r>
            <a:rPr lang="de-AT" sz="1100" i="0" u="sng">
              <a:solidFill>
                <a:srgbClr val="00327A"/>
              </a:solidFill>
              <a:effectLst/>
              <a:latin typeface="Calibri" panose="020F0502020204030204" pitchFamily="34" charset="0"/>
              <a:ea typeface="+mn-ea"/>
              <a:cs typeface="Calibri" panose="020F0502020204030204" pitchFamily="34" charset="0"/>
            </a:rPr>
            <a:t>summierten Mengen </a:t>
          </a:r>
          <a:r>
            <a:rPr lang="de-AT" sz="1100" i="0">
              <a:solidFill>
                <a:srgbClr val="00327A"/>
              </a:solidFill>
              <a:effectLst/>
              <a:latin typeface="Calibri" panose="020F0502020204030204" pitchFamily="34" charset="0"/>
              <a:ea typeface="+mn-ea"/>
              <a:cs typeface="Calibri" panose="020F0502020204030204" pitchFamily="34" charset="0"/>
            </a:rPr>
            <a:t>bzw</a:t>
          </a:r>
          <a:r>
            <a:rPr lang="de-AT" sz="1100" i="0" u="sng">
              <a:solidFill>
                <a:srgbClr val="00327A"/>
              </a:solidFill>
              <a:effectLst/>
              <a:latin typeface="Calibri" panose="020F0502020204030204" pitchFamily="34" charset="0"/>
              <a:ea typeface="+mn-ea"/>
              <a:cs typeface="Calibri" panose="020F0502020204030204" pitchFamily="34" charset="0"/>
            </a:rPr>
            <a:t>. summierten Nettorechnungsbeträge </a:t>
          </a:r>
          <a:r>
            <a:rPr lang="de-AT" sz="1100" i="0">
              <a:solidFill>
                <a:srgbClr val="00327A"/>
              </a:solidFill>
              <a:effectLst/>
              <a:latin typeface="Calibri" panose="020F0502020204030204" pitchFamily="34" charset="0"/>
              <a:ea typeface="+mn-ea"/>
              <a:cs typeface="Calibri" panose="020F0502020204030204" pitchFamily="34" charset="0"/>
            </a:rPr>
            <a:t>für den jeweiligen Rechnungszeitraum anzugeben. Achten Sie dabei auf die korrekten Mengeneinheiten in Liter bzw. Tonnen. Sofern keine Rechnungen für den Vergleichszeitraum 2021 vorliegen, ist im Bereich für Vergleichszeitraum ein "NEIN" auszuwählen. Anschließend ist unter "förderfähige Menge" die anzuwendende Berechnungsart auszuwählen (entweder Verbrauchsermittlung auf Basis von "Inventurmethode" oder Verbrauchsermittlung auf "Basis der Einkäufe aus den letzten 3 Jahren"). Je nach Auswahlart sind im unteren Bereich die Informationen bezüglich Inventur und/oder Einkäufen anzugeben.</a:t>
          </a:r>
          <a:r>
            <a:rPr lang="de-AT" sz="1100" i="0" baseline="0">
              <a:solidFill>
                <a:srgbClr val="000066"/>
              </a:solidFill>
              <a:effectLst/>
              <a:latin typeface="Calibri" panose="020F0502020204030204" pitchFamily="34" charset="0"/>
              <a:ea typeface="+mn-ea"/>
              <a:cs typeface="Calibri" panose="020F0502020204030204" pitchFamily="34" charset="0"/>
            </a:rPr>
            <a:t/>
          </a:r>
          <a:br>
            <a:rPr lang="de-AT" sz="1100" i="0" baseline="0">
              <a:solidFill>
                <a:srgbClr val="000066"/>
              </a:solidFill>
              <a:effectLst/>
              <a:latin typeface="Calibri" panose="020F0502020204030204" pitchFamily="34" charset="0"/>
              <a:ea typeface="+mn-ea"/>
              <a:cs typeface="Calibri" panose="020F0502020204030204" pitchFamily="34" charset="0"/>
            </a:rPr>
          </a:br>
          <a:r>
            <a:rPr lang="de-AT" sz="1100" i="0">
              <a:solidFill>
                <a:srgbClr val="000066"/>
              </a:solidFill>
              <a:effectLst/>
              <a:latin typeface="Calibri" panose="020F0502020204030204" pitchFamily="34" charset="0"/>
              <a:ea typeface="+mn-ea"/>
              <a:cs typeface="Calibri" panose="020F0502020204030204" pitchFamily="34" charset="0"/>
            </a:rPr>
            <a:t/>
          </a:r>
          <a:br>
            <a:rPr lang="de-AT" sz="1100" i="0">
              <a:solidFill>
                <a:srgbClr val="000066"/>
              </a:solidFill>
              <a:effectLst/>
              <a:latin typeface="Calibri" panose="020F0502020204030204" pitchFamily="34" charset="0"/>
              <a:ea typeface="+mn-ea"/>
              <a:cs typeface="Calibri" panose="020F0502020204030204" pitchFamily="34" charset="0"/>
            </a:rPr>
          </a:br>
          <a:r>
            <a:rPr lang="de-AT" sz="1100" b="1" baseline="0">
              <a:solidFill>
                <a:srgbClr val="00327A"/>
              </a:solidFill>
              <a:effectLst/>
              <a:latin typeface="Calibri" panose="020F0502020204030204" pitchFamily="34" charset="0"/>
              <a:ea typeface="+mn-ea"/>
              <a:cs typeface="Calibri" panose="020F0502020204030204" pitchFamily="34" charset="0"/>
            </a:rPr>
            <a:t>Tabellenblatt 5: Zuschuss</a:t>
          </a:r>
        </a:p>
        <a:p>
          <a:r>
            <a:rPr lang="de-AT" sz="1100" i="0">
              <a:solidFill>
                <a:srgbClr val="00327A"/>
              </a:solidFill>
              <a:effectLst/>
              <a:latin typeface="Calibri" panose="020F0502020204030204" pitchFamily="34" charset="0"/>
              <a:ea typeface="+mn-ea"/>
              <a:cs typeface="Calibri" panose="020F0502020204030204" pitchFamily="34" charset="0"/>
            </a:rPr>
            <a:t>Im letzten Schritt finden Sie die unverbindliche Berechnung Ihres Gesamtzuschusses.</a:t>
          </a:r>
        </a:p>
        <a:p>
          <a:r>
            <a:rPr lang="de-AT" sz="1100" i="0">
              <a:solidFill>
                <a:srgbClr val="00327A"/>
              </a:solidFill>
              <a:effectLst/>
              <a:latin typeface="Calibri" panose="020F0502020204030204" pitchFamily="34" charset="0"/>
              <a:ea typeface="+mn-ea"/>
              <a:cs typeface="Calibri" panose="020F0502020204030204" pitchFamily="34" charset="0"/>
            </a:rPr>
            <a:t> </a:t>
          </a:r>
        </a:p>
        <a:p>
          <a:pPr>
            <a:spcBef>
              <a:spcPts val="600"/>
            </a:spcBef>
          </a:pPr>
          <a:endParaRPr lang="de-AT" sz="1100">
            <a:solidFill>
              <a:srgbClr val="00327A"/>
            </a:solidFill>
            <a:latin typeface="Calibri" panose="020F0502020204030204" pitchFamily="34" charset="0"/>
            <a:cs typeface="Calibri" panose="020F0502020204030204" pitchFamily="34" charset="0"/>
          </a:endParaRPr>
        </a:p>
      </xdr:txBody>
    </xdr:sp>
    <xdr:clientData/>
  </xdr:twoCellAnchor>
  <xdr:oneCellAnchor>
    <xdr:from>
      <xdr:col>6</xdr:col>
      <xdr:colOff>409575</xdr:colOff>
      <xdr:row>2</xdr:row>
      <xdr:rowOff>9525</xdr:rowOff>
    </xdr:from>
    <xdr:ext cx="2306881" cy="545465"/>
    <xdr:pic>
      <xdr:nvPicPr>
        <xdr:cNvPr id="3" name="Grafik 2" descr="aws Logo">
          <a:extLst>
            <a:ext uri="{FF2B5EF4-FFF2-40B4-BE49-F238E27FC236}">
              <a16:creationId xmlns:a16="http://schemas.microsoft.com/office/drawing/2014/main" id="{A604894F-31C7-4F89-9E35-2D8BFD28B659}"/>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4695825" y="390525"/>
          <a:ext cx="2306881" cy="545465"/>
        </a:xfrm>
        <a:prstGeom prst="rect">
          <a:avLst/>
        </a:prstGeom>
      </xdr:spPr>
    </xdr:pic>
    <xdr:clientData/>
  </xdr:oneCellAnchor>
  <xdr:twoCellAnchor editAs="oneCell">
    <xdr:from>
      <xdr:col>7</xdr:col>
      <xdr:colOff>400050</xdr:colOff>
      <xdr:row>6</xdr:row>
      <xdr:rowOff>92338</xdr:rowOff>
    </xdr:from>
    <xdr:to>
      <xdr:col>9</xdr:col>
      <xdr:colOff>542925</xdr:colOff>
      <xdr:row>7</xdr:row>
      <xdr:rowOff>142820</xdr:rowOff>
    </xdr:to>
    <xdr:pic>
      <xdr:nvPicPr>
        <xdr:cNvPr id="4" name="Grafik 3">
          <a:extLst>
            <a:ext uri="{FF2B5EF4-FFF2-40B4-BE49-F238E27FC236}">
              <a16:creationId xmlns:a16="http://schemas.microsoft.com/office/drawing/2014/main" id="{E7F55D06-03A0-4E39-EAFD-452EA4F53261}"/>
            </a:ext>
          </a:extLst>
        </xdr:cNvPr>
        <xdr:cNvPicPr>
          <a:picLocks noChangeAspect="1"/>
        </xdr:cNvPicPr>
      </xdr:nvPicPr>
      <xdr:blipFill>
        <a:blip xmlns:r="http://schemas.openxmlformats.org/officeDocument/2006/relationships" r:embed="rId2"/>
        <a:stretch>
          <a:fillRect/>
        </a:stretch>
      </xdr:blipFill>
      <xdr:spPr>
        <a:xfrm>
          <a:off x="5400675" y="1235338"/>
          <a:ext cx="1571625" cy="240982"/>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19</xdr:col>
      <xdr:colOff>497417</xdr:colOff>
      <xdr:row>1</xdr:row>
      <xdr:rowOff>158788</xdr:rowOff>
    </xdr:from>
    <xdr:to>
      <xdr:col>22</xdr:col>
      <xdr:colOff>190564</xdr:colOff>
      <xdr:row>3</xdr:row>
      <xdr:rowOff>95218</xdr:rowOff>
    </xdr:to>
    <xdr:pic>
      <xdr:nvPicPr>
        <xdr:cNvPr id="4" name="Grafik 3" descr="aws Logo">
          <a:extLst>
            <a:ext uri="{FF2B5EF4-FFF2-40B4-BE49-F238E27FC236}">
              <a16:creationId xmlns:a16="http://schemas.microsoft.com/office/drawing/2014/main" id="{BDCEF57F-1FC7-42FC-BE3F-0F337322498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14848417" y="370455"/>
          <a:ext cx="2233147" cy="518513"/>
        </a:xfrm>
        <a:prstGeom prst="rect">
          <a:avLst/>
        </a:prstGeom>
      </xdr:spPr>
    </xdr:pic>
    <xdr:clientData/>
  </xdr:twoCellAnchor>
</xdr:wsDr>
</file>

<file path=xl/drawings/drawing3.xml><?xml version="1.0" encoding="utf-8"?>
<xdr:wsDr xmlns:xdr="http://schemas.openxmlformats.org/drawingml/2006/spreadsheetDrawing" xmlns:a="http://schemas.openxmlformats.org/drawingml/2006/main">
  <xdr:twoCellAnchor editAs="oneCell">
    <xdr:from>
      <xdr:col>18</xdr:col>
      <xdr:colOff>257735</xdr:colOff>
      <xdr:row>1</xdr:row>
      <xdr:rowOff>89647</xdr:rowOff>
    </xdr:from>
    <xdr:to>
      <xdr:col>21</xdr:col>
      <xdr:colOff>55695</xdr:colOff>
      <xdr:row>3</xdr:row>
      <xdr:rowOff>58681</xdr:rowOff>
    </xdr:to>
    <xdr:pic>
      <xdr:nvPicPr>
        <xdr:cNvPr id="3" name="Grafik 2" descr="aws Logo">
          <a:extLst>
            <a:ext uri="{FF2B5EF4-FFF2-40B4-BE49-F238E27FC236}">
              <a16:creationId xmlns:a16="http://schemas.microsoft.com/office/drawing/2014/main" id="{039525EA-9C4A-415D-A4C2-B58D1E7FC02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17694088" y="302559"/>
          <a:ext cx="2341695" cy="551740"/>
        </a:xfrm>
        <a:prstGeom prst="rect">
          <a:avLst/>
        </a:prstGeom>
      </xdr:spPr>
    </xdr:pic>
    <xdr:clientData/>
  </xdr:twoCellAnchor>
</xdr:wsDr>
</file>

<file path=xl/drawings/drawing4.xml><?xml version="1.0" encoding="utf-8"?>
<xdr:wsDr xmlns:xdr="http://schemas.openxmlformats.org/drawingml/2006/spreadsheetDrawing" xmlns:a="http://schemas.openxmlformats.org/drawingml/2006/main">
  <xdr:twoCellAnchor>
    <xdr:from>
      <xdr:col>1</xdr:col>
      <xdr:colOff>207170</xdr:colOff>
      <xdr:row>3</xdr:row>
      <xdr:rowOff>113188</xdr:rowOff>
    </xdr:from>
    <xdr:to>
      <xdr:col>10</xdr:col>
      <xdr:colOff>1008221</xdr:colOff>
      <xdr:row>10</xdr:row>
      <xdr:rowOff>35720</xdr:rowOff>
    </xdr:to>
    <xdr:sp macro="" textlink="">
      <xdr:nvSpPr>
        <xdr:cNvPr id="2" name="Textfeld 1">
          <a:extLst>
            <a:ext uri="{FF2B5EF4-FFF2-40B4-BE49-F238E27FC236}">
              <a16:creationId xmlns:a16="http://schemas.microsoft.com/office/drawing/2014/main" id="{2A8B0911-691B-4F85-B2E3-31BC4074CBBB}"/>
            </a:ext>
          </a:extLst>
        </xdr:cNvPr>
        <xdr:cNvSpPr txBox="1"/>
      </xdr:nvSpPr>
      <xdr:spPr>
        <a:xfrm>
          <a:off x="326233" y="1101407"/>
          <a:ext cx="12623957" cy="1613219"/>
        </a:xfrm>
        <a:prstGeom prst="rect">
          <a:avLst/>
        </a:prstGeom>
        <a:solidFill>
          <a:srgbClr val="D9E1F2"/>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de-AT" sz="1200">
              <a:solidFill>
                <a:srgbClr val="002060"/>
              </a:solidFill>
              <a:latin typeface="Calibri" panose="020F0502020204030204" pitchFamily="34" charset="0"/>
              <a:cs typeface="Calibri" panose="020F0502020204030204" pitchFamily="34" charset="0"/>
            </a:rPr>
            <a:t>Diese Berechnungshilfe dient zur Berechnung der förderungsfähigen Treibstoffkosten. </a:t>
          </a:r>
          <a:br>
            <a:rPr lang="de-AT" sz="1200">
              <a:solidFill>
                <a:srgbClr val="002060"/>
              </a:solidFill>
              <a:latin typeface="Calibri" panose="020F0502020204030204" pitchFamily="34" charset="0"/>
              <a:cs typeface="Calibri" panose="020F0502020204030204" pitchFamily="34" charset="0"/>
            </a:rPr>
          </a:br>
          <a:r>
            <a:rPr lang="de-AT" sz="1200" b="1">
              <a:solidFill>
                <a:srgbClr val="002060"/>
              </a:solidFill>
              <a:latin typeface="Calibri" panose="020F0502020204030204" pitchFamily="34" charset="0"/>
              <a:cs typeface="Calibri" panose="020F0502020204030204" pitchFamily="34" charset="0"/>
            </a:rPr>
            <a:t>Hierbei sind sämtliche Rechnungen für den förderungsfähigen Zeitraum in die Tabelle einzutragen.</a:t>
          </a:r>
        </a:p>
        <a:p>
          <a:r>
            <a:rPr lang="de-AT" sz="1200" b="0">
              <a:solidFill>
                <a:srgbClr val="002060"/>
              </a:solidFill>
              <a:latin typeface="Calibri" panose="020F0502020204030204" pitchFamily="34" charset="0"/>
              <a:cs typeface="Calibri" panose="020F0502020204030204" pitchFamily="34" charset="0"/>
            </a:rPr>
            <a:t>Es sind alle Felder,</a:t>
          </a:r>
          <a:r>
            <a:rPr lang="de-AT" sz="1200" b="0" baseline="0">
              <a:solidFill>
                <a:srgbClr val="002060"/>
              </a:solidFill>
              <a:latin typeface="Calibri" panose="020F0502020204030204" pitchFamily="34" charset="0"/>
              <a:cs typeface="Calibri" panose="020F0502020204030204" pitchFamily="34" charset="0"/>
            </a:rPr>
            <a:t> </a:t>
          </a:r>
          <a:r>
            <a:rPr lang="de-AT" sz="1200" b="0">
              <a:solidFill>
                <a:srgbClr val="002060"/>
              </a:solidFill>
              <a:latin typeface="Calibri" panose="020F0502020204030204" pitchFamily="34" charset="0"/>
              <a:cs typeface="Calibri" panose="020F0502020204030204" pitchFamily="34" charset="0"/>
            </a:rPr>
            <a:t>die benötigt werden, auszufüllen</a:t>
          </a:r>
          <a:r>
            <a:rPr lang="de-AT" sz="1200" baseline="0">
              <a:solidFill>
                <a:srgbClr val="002060"/>
              </a:solidFill>
              <a:latin typeface="Calibri" panose="020F0502020204030204" pitchFamily="34" charset="0"/>
              <a:cs typeface="Calibri" panose="020F0502020204030204" pitchFamily="34" charset="0"/>
            </a:rPr>
            <a:t>. Wenn es sich um eine Position handelt, die nicht vorsteuerabzugsberechtigt ist, dann ist der Wert der entsprechenden Spalte auf "Nein" zu ändern. </a:t>
          </a:r>
          <a:br>
            <a:rPr lang="de-AT" sz="1200" baseline="0">
              <a:solidFill>
                <a:srgbClr val="002060"/>
              </a:solidFill>
              <a:latin typeface="Calibri" panose="020F0502020204030204" pitchFamily="34" charset="0"/>
              <a:cs typeface="Calibri" panose="020F0502020204030204" pitchFamily="34" charset="0"/>
            </a:rPr>
          </a:br>
          <a:r>
            <a:rPr lang="de-AT" sz="1200" baseline="0">
              <a:solidFill>
                <a:srgbClr val="002060"/>
              </a:solidFill>
              <a:latin typeface="Calibri" panose="020F0502020204030204" pitchFamily="34" charset="0"/>
              <a:cs typeface="Calibri" panose="020F0502020204030204" pitchFamily="34" charset="0"/>
            </a:rPr>
            <a:t>Falls es sich um eine herkömmliche Treibstoffart "Diesel B7, Diesel B10, etc. oder Benzin E5, E10, etc." handelt, dann ist der Wert in der Spalte "Treibstoffspezifikation" auf "Standard" zu belassen.</a:t>
          </a:r>
        </a:p>
        <a:p>
          <a:r>
            <a:rPr lang="de-AT" sz="1200" baseline="0">
              <a:solidFill>
                <a:srgbClr val="002060"/>
              </a:solidFill>
              <a:latin typeface="Calibri" panose="020F0502020204030204" pitchFamily="34" charset="0"/>
              <a:cs typeface="Calibri" panose="020F0502020204030204" pitchFamily="34" charset="0"/>
            </a:rPr>
            <a:t>Falls es sich um eine Treibstoffart "Diesel B0" oder "Benzin E0" handelt, dann ist der Wert in der Spalte "Treibstoffspezifikation" entsprechend anzupassen.</a:t>
          </a:r>
        </a:p>
        <a:p>
          <a:r>
            <a:rPr lang="de-AT" sz="1200" baseline="0">
              <a:solidFill>
                <a:srgbClr val="002060"/>
              </a:solidFill>
              <a:latin typeface="Calibri" panose="020F0502020204030204" pitchFamily="34" charset="0"/>
              <a:cs typeface="Calibri" panose="020F0502020204030204" pitchFamily="34" charset="0"/>
            </a:rPr>
            <a:t>Die eingegebenen Daten werden automatisch in das Übersichtsblatt übernommen und der förderungsfähige Preis ermittelt. </a:t>
          </a:r>
          <a:endParaRPr lang="de-AT" sz="1200" b="0" i="0" u="none">
            <a:solidFill>
              <a:srgbClr val="002060"/>
            </a:solidFill>
            <a:effectLst/>
            <a:latin typeface="Calibri" panose="020F0502020204030204" pitchFamily="34" charset="0"/>
            <a:ea typeface="+mn-ea"/>
            <a:cs typeface="Calibri" panose="020F0502020204030204" pitchFamily="34" charset="0"/>
          </a:endParaRPr>
        </a:p>
      </xdr:txBody>
    </xdr:sp>
    <xdr:clientData/>
  </xdr:twoCellAnchor>
  <xdr:twoCellAnchor editAs="oneCell">
    <xdr:from>
      <xdr:col>10</xdr:col>
      <xdr:colOff>62371</xdr:colOff>
      <xdr:row>0</xdr:row>
      <xdr:rowOff>125730</xdr:rowOff>
    </xdr:from>
    <xdr:to>
      <xdr:col>10</xdr:col>
      <xdr:colOff>2230278</xdr:colOff>
      <xdr:row>1</xdr:row>
      <xdr:rowOff>321038</xdr:rowOff>
    </xdr:to>
    <xdr:pic>
      <xdr:nvPicPr>
        <xdr:cNvPr id="3" name="Grafik 2" descr="aws Logo">
          <a:extLst>
            <a:ext uri="{FF2B5EF4-FFF2-40B4-BE49-F238E27FC236}">
              <a16:creationId xmlns:a16="http://schemas.microsoft.com/office/drawing/2014/main" id="{3F57FBBF-EDEC-4A7A-AB2A-876BB6C50201}"/>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12004340" y="125730"/>
          <a:ext cx="2164097" cy="548686"/>
        </a:xfrm>
        <a:prstGeom prst="rect">
          <a:avLst/>
        </a:prstGeom>
      </xdr:spPr>
    </xdr:pic>
    <xdr:clientData/>
  </xdr:twoCellAnchor>
</xdr:wsDr>
</file>

<file path=xl/drawings/drawing5.xml><?xml version="1.0" encoding="utf-8"?>
<xdr:wsDr xmlns:xdr="http://schemas.openxmlformats.org/drawingml/2006/spreadsheetDrawing" xmlns:a="http://schemas.openxmlformats.org/drawingml/2006/main">
  <xdr:twoCellAnchor>
    <xdr:from>
      <xdr:col>0</xdr:col>
      <xdr:colOff>87630</xdr:colOff>
      <xdr:row>31</xdr:row>
      <xdr:rowOff>98849</xdr:rowOff>
    </xdr:from>
    <xdr:to>
      <xdr:col>5</xdr:col>
      <xdr:colOff>76200</xdr:colOff>
      <xdr:row>40</xdr:row>
      <xdr:rowOff>91948</xdr:rowOff>
    </xdr:to>
    <xdr:sp macro="" textlink="">
      <xdr:nvSpPr>
        <xdr:cNvPr id="3" name="Textfeld 2">
          <a:extLst>
            <a:ext uri="{FF2B5EF4-FFF2-40B4-BE49-F238E27FC236}">
              <a16:creationId xmlns:a16="http://schemas.microsoft.com/office/drawing/2014/main" id="{5CE0642B-6A57-4FD1-BE3F-9DA89A2ABAA1}"/>
            </a:ext>
          </a:extLst>
        </xdr:cNvPr>
        <xdr:cNvSpPr txBox="1"/>
      </xdr:nvSpPr>
      <xdr:spPr>
        <a:xfrm>
          <a:off x="87630" y="5032799"/>
          <a:ext cx="6922770" cy="1774274"/>
        </a:xfrm>
        <a:prstGeom prst="rect">
          <a:avLst/>
        </a:prstGeom>
        <a:solidFill>
          <a:srgbClr val="D9E1F2"/>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72000" algn="l">
            <a:lnSpc>
              <a:spcPts val="1600"/>
            </a:lnSpc>
            <a:spcBef>
              <a:spcPts val="600"/>
            </a:spcBef>
            <a:spcAft>
              <a:spcPts val="600"/>
            </a:spcAft>
          </a:pPr>
          <a:r>
            <a:rPr lang="de-AT" sz="1100" b="0">
              <a:solidFill>
                <a:srgbClr val="002060"/>
              </a:solidFill>
              <a:latin typeface="Calibri" panose="020F0502020204030204" pitchFamily="34" charset="0"/>
              <a:cs typeface="Calibri" panose="020F0502020204030204" pitchFamily="34" charset="0"/>
            </a:rPr>
            <a:t>Für die Berechnung des durchschnittlichen Nettopreises (des förderungsfähigen Zeitraumes) wird aus den verrechneten Nettopreisen für Benzin und Diesel </a:t>
          </a:r>
          <a:r>
            <a:rPr lang="de-AT" sz="1100" b="1">
              <a:solidFill>
                <a:srgbClr val="002060"/>
              </a:solidFill>
              <a:latin typeface="Calibri" panose="020F0502020204030204" pitchFamily="34" charset="0"/>
              <a:cs typeface="Calibri" panose="020F0502020204030204" pitchFamily="34" charset="0"/>
            </a:rPr>
            <a:t>ein gewichteter Durchschnitt</a:t>
          </a:r>
          <a:r>
            <a:rPr lang="de-AT" sz="1100" b="0">
              <a:solidFill>
                <a:srgbClr val="002060"/>
              </a:solidFill>
              <a:latin typeface="Calibri" panose="020F0502020204030204" pitchFamily="34" charset="0"/>
              <a:cs typeface="Calibri" panose="020F0502020204030204" pitchFamily="34" charset="0"/>
            </a:rPr>
            <a:t>, </a:t>
          </a:r>
          <a:r>
            <a:rPr lang="de-AT" sz="1100" b="1">
              <a:solidFill>
                <a:srgbClr val="002060"/>
              </a:solidFill>
              <a:latin typeface="Calibri" panose="020F0502020204030204" pitchFamily="34" charset="0"/>
              <a:cs typeface="Calibri" panose="020F0502020204030204" pitchFamily="34" charset="0"/>
            </a:rPr>
            <a:t>anhand des Verbrauchs, </a:t>
          </a:r>
          <a:r>
            <a:rPr lang="de-AT" sz="1100" b="0">
              <a:solidFill>
                <a:srgbClr val="002060"/>
              </a:solidFill>
              <a:latin typeface="Calibri" panose="020F0502020204030204" pitchFamily="34" charset="0"/>
              <a:cs typeface="Calibri" panose="020F0502020204030204" pitchFamily="34" charset="0"/>
            </a:rPr>
            <a:t>gebildet. Unter Förderungsfähiger Preis ist der Preis pro Mengeneinheit exklusive Steuern (z.B. Umsatzsteuer, Mineralölsteuer) zu verstehen, jedoch inklusive einer gemäß § 12 UStG nicht abzugsfähigen Vorsteuer, die sich auf den Nettopreis bezieht. </a:t>
          </a:r>
          <a:r>
            <a:rPr lang="de-AT" sz="1100" b="0">
              <a:solidFill>
                <a:srgbClr val="002060"/>
              </a:solidFill>
              <a:latin typeface="Calibri" panose="020F0502020204030204" pitchFamily="34" charset="0"/>
              <a:ea typeface="+mn-ea"/>
              <a:cs typeface="Calibri" panose="020F0502020204030204" pitchFamily="34" charset="0"/>
            </a:rPr>
            <a:t>Bei einem gemischten Fuhrpark im Betrieb ist ein gewichteter Durchschnitt zwischen Preisen der vorsteuerabzugsberechtigten Fahrzeuge und der nicht-vorsteuerabzugsberechtigten Fahrzeuge förderungsfähig.</a:t>
          </a:r>
        </a:p>
      </xdr:txBody>
    </xdr:sp>
    <xdr:clientData/>
  </xdr:twoCellAnchor>
  <xdr:twoCellAnchor editAs="oneCell">
    <xdr:from>
      <xdr:col>16</xdr:col>
      <xdr:colOff>542925</xdr:colOff>
      <xdr:row>0</xdr:row>
      <xdr:rowOff>77433</xdr:rowOff>
    </xdr:from>
    <xdr:to>
      <xdr:col>19</xdr:col>
      <xdr:colOff>668318</xdr:colOff>
      <xdr:row>2</xdr:row>
      <xdr:rowOff>1948</xdr:rowOff>
    </xdr:to>
    <xdr:pic>
      <xdr:nvPicPr>
        <xdr:cNvPr id="4" name="Grafik 3" descr="aws Logo">
          <a:extLst>
            <a:ext uri="{FF2B5EF4-FFF2-40B4-BE49-F238E27FC236}">
              <a16:creationId xmlns:a16="http://schemas.microsoft.com/office/drawing/2014/main" id="{0A1CD073-B516-4F9C-ABEE-898449FC4DFF}"/>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14716125" y="77433"/>
          <a:ext cx="2268518" cy="534115"/>
        </a:xfrm>
        <a:prstGeom prst="rect">
          <a:avLst/>
        </a:prstGeom>
      </xdr:spPr>
    </xdr:pic>
    <xdr:clientData/>
  </xdr:twoCellAnchor>
</xdr:wsDr>
</file>

<file path=xl/drawings/drawing6.xml><?xml version="1.0" encoding="utf-8"?>
<xdr:wsDr xmlns:xdr="http://schemas.openxmlformats.org/drawingml/2006/spreadsheetDrawing" xmlns:a="http://schemas.openxmlformats.org/drawingml/2006/main">
  <xdr:twoCellAnchor>
    <xdr:from>
      <xdr:col>8</xdr:col>
      <xdr:colOff>440531</xdr:colOff>
      <xdr:row>9</xdr:row>
      <xdr:rowOff>0</xdr:rowOff>
    </xdr:from>
    <xdr:to>
      <xdr:col>19</xdr:col>
      <xdr:colOff>1030941</xdr:colOff>
      <xdr:row>16</xdr:row>
      <xdr:rowOff>235323</xdr:rowOff>
    </xdr:to>
    <xdr:sp macro="" textlink="">
      <xdr:nvSpPr>
        <xdr:cNvPr id="3" name="Rechteck 2">
          <a:extLst>
            <a:ext uri="{FF2B5EF4-FFF2-40B4-BE49-F238E27FC236}">
              <a16:creationId xmlns:a16="http://schemas.microsoft.com/office/drawing/2014/main" id="{AA666E75-E7EC-4605-ACAB-3A03D66D1028}"/>
            </a:ext>
          </a:extLst>
        </xdr:cNvPr>
        <xdr:cNvSpPr/>
      </xdr:nvSpPr>
      <xdr:spPr>
        <a:xfrm>
          <a:off x="5875384" y="1804147"/>
          <a:ext cx="10597263" cy="2286000"/>
        </a:xfrm>
        <a:prstGeom prst="rect">
          <a:avLst/>
        </a:prstGeom>
        <a:solidFill>
          <a:srgbClr val="D9E1F2"/>
        </a:solidFill>
        <a:ln>
          <a:solidFill>
            <a:srgbClr val="000066"/>
          </a:solidFill>
        </a:ln>
      </xdr:spPr>
      <xdr:style>
        <a:lnRef idx="1">
          <a:schemeClr val="accent4"/>
        </a:lnRef>
        <a:fillRef idx="2">
          <a:schemeClr val="accent4"/>
        </a:fillRef>
        <a:effectRef idx="1">
          <a:schemeClr val="accent4"/>
        </a:effectRef>
        <a:fontRef idx="minor">
          <a:schemeClr val="dk1"/>
        </a:fontRef>
      </xdr:style>
      <xdr:txBody>
        <a:bodyPr vertOverflow="clip" horzOverflow="clip" rtlCol="0" anchor="t"/>
        <a:lstStyle/>
        <a:p>
          <a:r>
            <a:rPr lang="de-AT" sz="1100" b="1">
              <a:solidFill>
                <a:srgbClr val="000066"/>
              </a:solidFill>
              <a:effectLst/>
              <a:latin typeface="Calibri" panose="020F0502020204030204" pitchFamily="34" charset="0"/>
              <a:ea typeface="+mn-ea"/>
              <a:cs typeface="Calibri" panose="020F0502020204030204" pitchFamily="34" charset="0"/>
            </a:rPr>
            <a:t>Erläuterung: </a:t>
          </a:r>
          <a:br>
            <a:rPr lang="de-AT" sz="1100" b="1">
              <a:solidFill>
                <a:srgbClr val="000066"/>
              </a:solidFill>
              <a:effectLst/>
              <a:latin typeface="Calibri" panose="020F0502020204030204" pitchFamily="34" charset="0"/>
              <a:ea typeface="+mn-ea"/>
              <a:cs typeface="Calibri" panose="020F0502020204030204" pitchFamily="34" charset="0"/>
            </a:rPr>
          </a:br>
          <a:r>
            <a:rPr lang="de-AT" sz="1100">
              <a:solidFill>
                <a:srgbClr val="000066"/>
              </a:solidFill>
              <a:effectLst/>
              <a:latin typeface="Calibri" panose="020F0502020204030204" pitchFamily="34" charset="0"/>
              <a:ea typeface="+mn-ea"/>
              <a:cs typeface="Calibri" panose="020F0502020204030204" pitchFamily="34" charset="0"/>
            </a:rPr>
            <a:t>Diese Berechnungshilfe dient zur Berechnung der förderungsfähigen Kosten</a:t>
          </a:r>
          <a:r>
            <a:rPr lang="de-AT" sz="1100" baseline="0">
              <a:solidFill>
                <a:srgbClr val="000066"/>
              </a:solidFill>
              <a:effectLst/>
              <a:latin typeface="Calibri" panose="020F0502020204030204" pitchFamily="34" charset="0"/>
              <a:ea typeface="+mn-ea"/>
              <a:cs typeface="Calibri" panose="020F0502020204030204" pitchFamily="34" charset="0"/>
            </a:rPr>
            <a:t> für die Energiearten Heizöl, Holzpellets und Hackschnitzel</a:t>
          </a:r>
          <a:r>
            <a:rPr lang="de-AT" sz="1100">
              <a:solidFill>
                <a:srgbClr val="000066"/>
              </a:solidFill>
              <a:effectLst/>
              <a:latin typeface="Calibri" panose="020F0502020204030204" pitchFamily="34" charset="0"/>
              <a:ea typeface="+mn-ea"/>
              <a:cs typeface="Calibri" panose="020F0502020204030204" pitchFamily="34" charset="0"/>
            </a:rPr>
            <a:t>. </a:t>
          </a:r>
          <a:r>
            <a:rPr lang="de-AT" sz="1100" b="1">
              <a:solidFill>
                <a:srgbClr val="000066"/>
              </a:solidFill>
              <a:effectLst/>
              <a:latin typeface="Calibri" panose="020F0502020204030204" pitchFamily="34" charset="0"/>
              <a:ea typeface="+mn-ea"/>
              <a:cs typeface="Calibri" panose="020F0502020204030204" pitchFamily="34" charset="0"/>
            </a:rPr>
            <a:t>Es sind alle Felder,</a:t>
          </a:r>
          <a:r>
            <a:rPr lang="de-AT" sz="1100" b="1" baseline="0">
              <a:solidFill>
                <a:srgbClr val="000066"/>
              </a:solidFill>
              <a:effectLst/>
              <a:latin typeface="Calibri" panose="020F0502020204030204" pitchFamily="34" charset="0"/>
              <a:ea typeface="+mn-ea"/>
              <a:cs typeface="Calibri" panose="020F0502020204030204" pitchFamily="34" charset="0"/>
            </a:rPr>
            <a:t> </a:t>
          </a:r>
          <a:r>
            <a:rPr lang="de-AT" sz="1100" b="1">
              <a:solidFill>
                <a:srgbClr val="000066"/>
              </a:solidFill>
              <a:effectLst/>
              <a:latin typeface="Calibri" panose="020F0502020204030204" pitchFamily="34" charset="0"/>
              <a:ea typeface="+mn-ea"/>
              <a:cs typeface="Calibri" panose="020F0502020204030204" pitchFamily="34" charset="0"/>
            </a:rPr>
            <a:t>die benötigt werden, auszufüllen</a:t>
          </a:r>
          <a:r>
            <a:rPr lang="de-AT" sz="1100" b="1" baseline="0">
              <a:solidFill>
                <a:srgbClr val="000066"/>
              </a:solidFill>
              <a:effectLst/>
              <a:latin typeface="Calibri" panose="020F0502020204030204" pitchFamily="34" charset="0"/>
              <a:ea typeface="+mn-ea"/>
              <a:cs typeface="Calibri" panose="020F0502020204030204" pitchFamily="34" charset="0"/>
            </a:rPr>
            <a:t>. </a:t>
          </a:r>
          <a:r>
            <a:rPr lang="de-AT" sz="1100" baseline="0">
              <a:solidFill>
                <a:srgbClr val="000066"/>
              </a:solidFill>
              <a:effectLst/>
              <a:latin typeface="Calibri" panose="020F0502020204030204" pitchFamily="34" charset="0"/>
              <a:ea typeface="+mn-ea"/>
              <a:cs typeface="Calibri" panose="020F0502020204030204" pitchFamily="34" charset="0"/>
            </a:rPr>
            <a:t/>
          </a:r>
          <a:br>
            <a:rPr lang="de-AT" sz="1100" baseline="0">
              <a:solidFill>
                <a:srgbClr val="000066"/>
              </a:solidFill>
              <a:effectLst/>
              <a:latin typeface="Calibri" panose="020F0502020204030204" pitchFamily="34" charset="0"/>
              <a:ea typeface="+mn-ea"/>
              <a:cs typeface="Calibri" panose="020F0502020204030204" pitchFamily="34" charset="0"/>
            </a:rPr>
          </a:br>
          <a:r>
            <a:rPr lang="de-AT" sz="1100" baseline="0">
              <a:solidFill>
                <a:srgbClr val="000066"/>
              </a:solidFill>
              <a:effectLst/>
              <a:latin typeface="Calibri" panose="020F0502020204030204" pitchFamily="34" charset="0"/>
              <a:ea typeface="+mn-ea"/>
              <a:cs typeface="Calibri" panose="020F0502020204030204" pitchFamily="34" charset="0"/>
            </a:rPr>
            <a:t>1) Zuerst ist mit JA/NEIN anzugeben, welche Energiearten beantragt werden bzw. ob es sich um ein Vorsteuerabzugsberechtigtes Unternehmen handelt.</a:t>
          </a:r>
          <a:r>
            <a:rPr lang="de-AT" sz="1100">
              <a:solidFill>
                <a:srgbClr val="000066"/>
              </a:solidFill>
              <a:latin typeface="Calibri" panose="020F0502020204030204" pitchFamily="34" charset="0"/>
              <a:cs typeface="Calibri" panose="020F0502020204030204" pitchFamily="34" charset="0"/>
            </a:rPr>
            <a:t/>
          </a:r>
          <a:br>
            <a:rPr lang="de-AT" sz="1100">
              <a:solidFill>
                <a:srgbClr val="000066"/>
              </a:solidFill>
              <a:latin typeface="Calibri" panose="020F0502020204030204" pitchFamily="34" charset="0"/>
              <a:cs typeface="Calibri" panose="020F0502020204030204" pitchFamily="34" charset="0"/>
            </a:rPr>
          </a:br>
          <a:r>
            <a:rPr lang="de-AT" sz="1100">
              <a:solidFill>
                <a:srgbClr val="000066"/>
              </a:solidFill>
              <a:latin typeface="Calibri" panose="020F0502020204030204" pitchFamily="34" charset="0"/>
              <a:cs typeface="Calibri" panose="020F0502020204030204" pitchFamily="34" charset="0"/>
            </a:rPr>
            <a:t>2) Bitte geben Sie</a:t>
          </a:r>
          <a:r>
            <a:rPr lang="de-AT" sz="1100" baseline="0">
              <a:solidFill>
                <a:srgbClr val="000066"/>
              </a:solidFill>
              <a:latin typeface="Calibri" panose="020F0502020204030204" pitchFamily="34" charset="0"/>
              <a:cs typeface="Calibri" panose="020F0502020204030204" pitchFamily="34" charset="0"/>
            </a:rPr>
            <a:t> im Bereich </a:t>
          </a:r>
          <a:r>
            <a:rPr lang="de-AT" sz="1100" b="1" baseline="0">
              <a:solidFill>
                <a:srgbClr val="000066"/>
              </a:solidFill>
              <a:latin typeface="Calibri" panose="020F0502020204030204" pitchFamily="34" charset="0"/>
              <a:cs typeface="Calibri" panose="020F0502020204030204" pitchFamily="34" charset="0"/>
            </a:rPr>
            <a:t>"Durchschnittspreisermittlung" </a:t>
          </a:r>
          <a:r>
            <a:rPr lang="de-AT" sz="1100" baseline="0">
              <a:solidFill>
                <a:srgbClr val="000066"/>
              </a:solidFill>
              <a:latin typeface="Calibri" panose="020F0502020204030204" pitchFamily="34" charset="0"/>
              <a:cs typeface="Calibri" panose="020F0502020204030204" pitchFamily="34" charset="0"/>
            </a:rPr>
            <a:t>jeweils die </a:t>
          </a:r>
          <a:r>
            <a:rPr lang="de-AT" sz="1100" b="1" baseline="0">
              <a:solidFill>
                <a:srgbClr val="000066"/>
              </a:solidFill>
              <a:latin typeface="Calibri" panose="020F0502020204030204" pitchFamily="34" charset="0"/>
              <a:cs typeface="Calibri" panose="020F0502020204030204" pitchFamily="34" charset="0"/>
            </a:rPr>
            <a:t>summierten Mengen bzw. summierten Nettorechnungsbeträge</a:t>
          </a:r>
          <a:r>
            <a:rPr lang="de-AT" sz="1100" baseline="0">
              <a:solidFill>
                <a:srgbClr val="000066"/>
              </a:solidFill>
              <a:latin typeface="Calibri" panose="020F0502020204030204" pitchFamily="34" charset="0"/>
              <a:cs typeface="Calibri" panose="020F0502020204030204" pitchFamily="34" charset="0"/>
            </a:rPr>
            <a:t> für den jeweiligen Rechnungszeitraum an. Achten Sie dabei auf die korrekten Mengeneinheiten Liter bzw. Tonnen. Sofern keine Rechnungen für den Vergleichszeitraum 2021 vorliegen, ist in Zeile 28-30 ein "NEIN" anzugeben.</a:t>
          </a:r>
        </a:p>
        <a:p>
          <a:r>
            <a:rPr lang="de-AT" sz="1100">
              <a:solidFill>
                <a:srgbClr val="000066"/>
              </a:solidFill>
              <a:latin typeface="Calibri" panose="020F0502020204030204" pitchFamily="34" charset="0"/>
              <a:cs typeface="Calibri" panose="020F0502020204030204" pitchFamily="34" charset="0"/>
            </a:rPr>
            <a:t>3) Unter</a:t>
          </a:r>
          <a:r>
            <a:rPr lang="de-AT" sz="1100" baseline="0">
              <a:solidFill>
                <a:srgbClr val="000066"/>
              </a:solidFill>
              <a:latin typeface="Calibri" panose="020F0502020204030204" pitchFamily="34" charset="0"/>
              <a:cs typeface="Calibri" panose="020F0502020204030204" pitchFamily="34" charset="0"/>
            </a:rPr>
            <a:t> </a:t>
          </a:r>
          <a:r>
            <a:rPr lang="de-AT" sz="1100" b="1" baseline="0">
              <a:solidFill>
                <a:srgbClr val="000066"/>
              </a:solidFill>
              <a:latin typeface="Calibri" panose="020F0502020204030204" pitchFamily="34" charset="0"/>
              <a:cs typeface="Calibri" panose="020F0502020204030204" pitchFamily="34" charset="0"/>
            </a:rPr>
            <a:t>"förderfähige Menge" </a:t>
          </a:r>
          <a:r>
            <a:rPr lang="de-AT" sz="1100" baseline="0">
              <a:solidFill>
                <a:srgbClr val="000066"/>
              </a:solidFill>
              <a:latin typeface="Calibri" panose="020F0502020204030204" pitchFamily="34" charset="0"/>
              <a:cs typeface="Calibri" panose="020F0502020204030204" pitchFamily="34" charset="0"/>
            </a:rPr>
            <a:t>ist zunächst die anzuwendende Berechnungsart hinsichtlich der förderfähigen Menge auszuwählen (entweder Verbrauchsermittlung auf Basis von "Inventurmethode" oder Verbrauchsermittlung auf "Basis Durchschnitt der Einkäufe aus den letzten 3 Jahren (2020-2022)". Je nach Auswahlart sind im unteren Bereich die Informationen bezüglich Inventur und/oder Einkäufen anzugeben.</a:t>
          </a:r>
          <a:r>
            <a:rPr lang="de-AT" sz="1100">
              <a:solidFill>
                <a:srgbClr val="000066"/>
              </a:solidFill>
              <a:latin typeface="Calibri" panose="020F0502020204030204" pitchFamily="34" charset="0"/>
              <a:cs typeface="Calibri" panose="020F0502020204030204" pitchFamily="34" charset="0"/>
            </a:rPr>
            <a:t/>
          </a:r>
          <a:br>
            <a:rPr lang="de-AT" sz="1100">
              <a:solidFill>
                <a:srgbClr val="000066"/>
              </a:solidFill>
              <a:latin typeface="Calibri" panose="020F0502020204030204" pitchFamily="34" charset="0"/>
              <a:cs typeface="Calibri" panose="020F0502020204030204" pitchFamily="34" charset="0"/>
            </a:rPr>
          </a:br>
          <a:r>
            <a:rPr lang="de-AT" sz="1100">
              <a:solidFill>
                <a:srgbClr val="000066"/>
              </a:solidFill>
              <a:latin typeface="Calibri" panose="020F0502020204030204" pitchFamily="34" charset="0"/>
              <a:cs typeface="Calibri" panose="020F0502020204030204" pitchFamily="34" charset="0"/>
            </a:rPr>
            <a:t/>
          </a:r>
          <a:br>
            <a:rPr lang="de-AT" sz="1100">
              <a:solidFill>
                <a:srgbClr val="000066"/>
              </a:solidFill>
              <a:latin typeface="Calibri" panose="020F0502020204030204" pitchFamily="34" charset="0"/>
              <a:cs typeface="Calibri" panose="020F0502020204030204" pitchFamily="34" charset="0"/>
            </a:rPr>
          </a:br>
          <a:r>
            <a:rPr lang="de-AT" sz="1100">
              <a:solidFill>
                <a:srgbClr val="000066"/>
              </a:solidFill>
              <a:latin typeface="Calibri" panose="020F0502020204030204" pitchFamily="34" charset="0"/>
              <a:cs typeface="Calibri" panose="020F0502020204030204" pitchFamily="34" charset="0"/>
            </a:rPr>
            <a:t>Achtung: Die Berechnungshilfe umfasst </a:t>
          </a:r>
          <a:r>
            <a:rPr lang="de-AT" sz="1100" b="1">
              <a:solidFill>
                <a:srgbClr val="000066"/>
              </a:solidFill>
              <a:latin typeface="Calibri" panose="020F0502020204030204" pitchFamily="34" charset="0"/>
              <a:cs typeface="Calibri" panose="020F0502020204030204" pitchFamily="34" charset="0"/>
            </a:rPr>
            <a:t>unter</a:t>
          </a:r>
          <a:r>
            <a:rPr lang="de-AT" sz="1100" b="1" baseline="0">
              <a:solidFill>
                <a:srgbClr val="000066"/>
              </a:solidFill>
              <a:latin typeface="Calibri" panose="020F0502020204030204" pitchFamily="34" charset="0"/>
              <a:cs typeface="Calibri" panose="020F0502020204030204" pitchFamily="34" charset="0"/>
            </a:rPr>
            <a:t> Heizöl ausschließlich "</a:t>
          </a:r>
          <a:r>
            <a:rPr lang="de-AT" sz="1100" b="1">
              <a:solidFill>
                <a:srgbClr val="000066"/>
              </a:solidFill>
              <a:latin typeface="Calibri" panose="020F0502020204030204" pitchFamily="34" charset="0"/>
              <a:cs typeface="Calibri" panose="020F0502020204030204" pitchFamily="34" charset="0"/>
            </a:rPr>
            <a:t>Extra Leichtes Heizöl (gekennzeichnetes Gasöl) mit einem Schwefelgehalt</a:t>
          </a:r>
          <a:r>
            <a:rPr lang="de-AT" sz="1100" b="1" baseline="0">
              <a:solidFill>
                <a:srgbClr val="000066"/>
              </a:solidFill>
              <a:latin typeface="Calibri" panose="020F0502020204030204" pitchFamily="34" charset="0"/>
              <a:cs typeface="Calibri" panose="020F0502020204030204" pitchFamily="34" charset="0"/>
            </a:rPr>
            <a:t> ≤ 10mg/kg</a:t>
          </a:r>
          <a:r>
            <a:rPr lang="de-AT" sz="1100" b="1">
              <a:solidFill>
                <a:srgbClr val="000066"/>
              </a:solidFill>
              <a:latin typeface="Calibri" panose="020F0502020204030204" pitchFamily="34" charset="0"/>
              <a:cs typeface="Calibri" panose="020F0502020204030204" pitchFamily="34" charset="0"/>
            </a:rPr>
            <a:t>".</a:t>
          </a:r>
          <a:r>
            <a:rPr lang="de-AT" sz="1100" b="1" baseline="0">
              <a:solidFill>
                <a:srgbClr val="000066"/>
              </a:solidFill>
              <a:latin typeface="Calibri" panose="020F0502020204030204" pitchFamily="34" charset="0"/>
              <a:cs typeface="Calibri" panose="020F0502020204030204" pitchFamily="34" charset="0"/>
            </a:rPr>
            <a:t> </a:t>
          </a:r>
        </a:p>
        <a:p>
          <a:r>
            <a:rPr lang="de-AT" sz="1100" baseline="0">
              <a:solidFill>
                <a:srgbClr val="000066"/>
              </a:solidFill>
              <a:latin typeface="Calibri" panose="020F0502020204030204" pitchFamily="34" charset="0"/>
              <a:cs typeface="Calibri" panose="020F0502020204030204" pitchFamily="34" charset="0"/>
            </a:rPr>
            <a:t>Andere Heizölsorten sind in dieser Berechnungshilfe nicht abbildbar, da hierfür gesonderte Mineralölsteuer-Sätze zur Anwendung kommen. </a:t>
          </a:r>
        </a:p>
        <a:p>
          <a:endParaRPr lang="de-AT" sz="1100">
            <a:latin typeface="Calibri" panose="020F0502020204030204" pitchFamily="34" charset="0"/>
            <a:cs typeface="Calibri" panose="020F0502020204030204" pitchFamily="34" charset="0"/>
          </a:endParaRPr>
        </a:p>
      </xdr:txBody>
    </xdr:sp>
    <xdr:clientData/>
  </xdr:twoCellAnchor>
  <xdr:twoCellAnchor editAs="oneCell">
    <xdr:from>
      <xdr:col>17</xdr:col>
      <xdr:colOff>694765</xdr:colOff>
      <xdr:row>0</xdr:row>
      <xdr:rowOff>97117</xdr:rowOff>
    </xdr:from>
    <xdr:to>
      <xdr:col>19</xdr:col>
      <xdr:colOff>1237479</xdr:colOff>
      <xdr:row>1</xdr:row>
      <xdr:rowOff>206467</xdr:rowOff>
    </xdr:to>
    <xdr:pic>
      <xdr:nvPicPr>
        <xdr:cNvPr id="4" name="Grafik 3" descr="aws Logo">
          <a:extLst>
            <a:ext uri="{FF2B5EF4-FFF2-40B4-BE49-F238E27FC236}">
              <a16:creationId xmlns:a16="http://schemas.microsoft.com/office/drawing/2014/main" id="{47F2AD38-98D5-40CF-80F0-FA108B572997}"/>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14478000" y="97117"/>
          <a:ext cx="2201185" cy="523968"/>
        </a:xfrm>
        <a:prstGeom prst="rect">
          <a:avLst/>
        </a:prstGeom>
      </xdr:spPr>
    </xdr:pic>
    <xdr:clientData/>
  </xdr:twoCellAnchor>
  <xdr:twoCellAnchor>
    <xdr:from>
      <xdr:col>14</xdr:col>
      <xdr:colOff>59690</xdr:colOff>
      <xdr:row>43</xdr:row>
      <xdr:rowOff>74083</xdr:rowOff>
    </xdr:from>
    <xdr:to>
      <xdr:col>18</xdr:col>
      <xdr:colOff>631190</xdr:colOff>
      <xdr:row>45</xdr:row>
      <xdr:rowOff>476250</xdr:rowOff>
    </xdr:to>
    <xdr:sp macro="" textlink="">
      <xdr:nvSpPr>
        <xdr:cNvPr id="2" name="Rechteck 1">
          <a:extLst>
            <a:ext uri="{FF2B5EF4-FFF2-40B4-BE49-F238E27FC236}">
              <a16:creationId xmlns:a16="http://schemas.microsoft.com/office/drawing/2014/main" id="{3FC2BEFB-D221-40DF-ABEC-A72518136414}"/>
            </a:ext>
          </a:extLst>
        </xdr:cNvPr>
        <xdr:cNvSpPr/>
      </xdr:nvSpPr>
      <xdr:spPr>
        <a:xfrm>
          <a:off x="11659023" y="11038416"/>
          <a:ext cx="3968750" cy="1460501"/>
        </a:xfrm>
        <a:prstGeom prst="rect">
          <a:avLst/>
        </a:prstGeom>
        <a:solidFill>
          <a:srgbClr val="D9E1F2"/>
        </a:solidFill>
        <a:ln>
          <a:solidFill>
            <a:srgbClr val="000066"/>
          </a:solidFill>
        </a:ln>
      </xdr:spPr>
      <xdr:style>
        <a:lnRef idx="1">
          <a:schemeClr val="accent4"/>
        </a:lnRef>
        <a:fillRef idx="2">
          <a:schemeClr val="accent4"/>
        </a:fillRef>
        <a:effectRef idx="1">
          <a:schemeClr val="accent4"/>
        </a:effectRef>
        <a:fontRef idx="minor">
          <a:schemeClr val="dk1"/>
        </a:fontRef>
      </xdr:style>
      <xdr:txBody>
        <a:bodyPr vertOverflow="clip" horzOverflow="clip" rtlCol="0" anchor="t"/>
        <a:lstStyle/>
        <a:p>
          <a:r>
            <a:rPr lang="de-AT" sz="1100">
              <a:latin typeface="Calibri" panose="020F0502020204030204" pitchFamily="34" charset="0"/>
              <a:cs typeface="Calibri" panose="020F0502020204030204" pitchFamily="34" charset="0"/>
            </a:rPr>
            <a:t> </a:t>
          </a:r>
        </a:p>
        <a:p>
          <a:r>
            <a:rPr lang="de-AT" sz="1200" b="1" u="sng">
              <a:solidFill>
                <a:srgbClr val="000066"/>
              </a:solidFill>
              <a:latin typeface="Calibri" panose="020F0502020204030204" pitchFamily="34" charset="0"/>
              <a:cs typeface="Calibri" panose="020F0502020204030204" pitchFamily="34" charset="0"/>
            </a:rPr>
            <a:t>Auswahloptionen - Berechnungsart förderfähige Menge:</a:t>
          </a:r>
        </a:p>
        <a:p>
          <a:endParaRPr lang="de-AT" sz="1100">
            <a:latin typeface="Calibri" panose="020F0502020204030204" pitchFamily="34" charset="0"/>
            <a:cs typeface="Calibri" panose="020F0502020204030204" pitchFamily="34" charset="0"/>
          </a:endParaRPr>
        </a:p>
        <a:p>
          <a:r>
            <a:rPr lang="de-AT" sz="1200" b="1">
              <a:solidFill>
                <a:srgbClr val="000066"/>
              </a:solidFill>
              <a:latin typeface="Calibri" panose="020F0502020204030204" pitchFamily="34" charset="0"/>
              <a:cs typeface="Calibri" panose="020F0502020204030204" pitchFamily="34" charset="0"/>
            </a:rPr>
            <a:t>    a) Durchschnitt Ø aus Inventurmethode</a:t>
          </a:r>
        </a:p>
        <a:p>
          <a:endParaRPr lang="de-AT" sz="1200" b="1">
            <a:solidFill>
              <a:srgbClr val="000066"/>
            </a:solidFill>
            <a:latin typeface="Calibri" panose="020F0502020204030204" pitchFamily="34" charset="0"/>
            <a:cs typeface="Calibri" panose="020F0502020204030204" pitchFamily="34" charset="0"/>
          </a:endParaRPr>
        </a:p>
        <a:p>
          <a:r>
            <a:rPr lang="de-AT" sz="1200" b="1">
              <a:solidFill>
                <a:srgbClr val="000066"/>
              </a:solidFill>
              <a:latin typeface="Calibri" panose="020F0502020204030204" pitchFamily="34" charset="0"/>
              <a:cs typeface="Calibri" panose="020F0502020204030204" pitchFamily="34" charset="0"/>
            </a:rPr>
            <a:t>    b) Durchschnitt Ø aus Einkäufen der letzten 3 Jahre</a:t>
          </a:r>
        </a:p>
      </xdr:txBody>
    </xdr:sp>
    <xdr:clientData/>
  </xdr:twoCellAnchor>
  <xdr:twoCellAnchor>
    <xdr:from>
      <xdr:col>17</xdr:col>
      <xdr:colOff>174836</xdr:colOff>
      <xdr:row>22</xdr:row>
      <xdr:rowOff>0</xdr:rowOff>
    </xdr:from>
    <xdr:to>
      <xdr:col>19</xdr:col>
      <xdr:colOff>874058</xdr:colOff>
      <xdr:row>25</xdr:row>
      <xdr:rowOff>22411</xdr:rowOff>
    </xdr:to>
    <xdr:sp macro="" textlink="">
      <xdr:nvSpPr>
        <xdr:cNvPr id="5" name="Rechteck 4">
          <a:extLst>
            <a:ext uri="{FF2B5EF4-FFF2-40B4-BE49-F238E27FC236}">
              <a16:creationId xmlns:a16="http://schemas.microsoft.com/office/drawing/2014/main" id="{553B0526-4E5D-4FF6-B970-21EAD1FB5D21}"/>
            </a:ext>
          </a:extLst>
        </xdr:cNvPr>
        <xdr:cNvSpPr/>
      </xdr:nvSpPr>
      <xdr:spPr>
        <a:xfrm>
          <a:off x="14417512" y="5681382"/>
          <a:ext cx="2402517" cy="862853"/>
        </a:xfrm>
        <a:prstGeom prst="rect">
          <a:avLst/>
        </a:prstGeom>
        <a:solidFill>
          <a:srgbClr val="D9E1F2"/>
        </a:solidFill>
        <a:ln>
          <a:solidFill>
            <a:srgbClr val="000066"/>
          </a:solidFill>
        </a:ln>
      </xdr:spPr>
      <xdr:style>
        <a:lnRef idx="1">
          <a:schemeClr val="accent4"/>
        </a:lnRef>
        <a:fillRef idx="2">
          <a:schemeClr val="accent4"/>
        </a:fillRef>
        <a:effectRef idx="1">
          <a:schemeClr val="accent4"/>
        </a:effectRef>
        <a:fontRef idx="minor">
          <a:schemeClr val="dk1"/>
        </a:fontRef>
      </xdr:style>
      <xdr:txBody>
        <a:bodyPr vertOverflow="clip" horzOverflow="clip" rtlCol="0" anchor="t"/>
        <a:lstStyle/>
        <a:p>
          <a:r>
            <a:rPr lang="de-AT" sz="1100" u="sng">
              <a:solidFill>
                <a:srgbClr val="000066"/>
              </a:solidFill>
              <a:latin typeface="Calibri" panose="020F0502020204030204" pitchFamily="34" charset="0"/>
              <a:cs typeface="Calibri" panose="020F0502020204030204" pitchFamily="34" charset="0"/>
            </a:rPr>
            <a:t>Hinweise:</a:t>
          </a:r>
        </a:p>
        <a:p>
          <a:r>
            <a:rPr lang="de-AT" sz="1100">
              <a:solidFill>
                <a:srgbClr val="000066"/>
              </a:solidFill>
              <a:latin typeface="Calibri" panose="020F0502020204030204" pitchFamily="34" charset="0"/>
              <a:cs typeface="Calibri" panose="020F0502020204030204" pitchFamily="34" charset="0"/>
            </a:rPr>
            <a:t>1 kg = 0,001</a:t>
          </a:r>
          <a:r>
            <a:rPr lang="de-AT" sz="1100" baseline="0">
              <a:solidFill>
                <a:srgbClr val="000066"/>
              </a:solidFill>
              <a:latin typeface="Calibri" panose="020F0502020204030204" pitchFamily="34" charset="0"/>
              <a:cs typeface="Calibri" panose="020F0502020204030204" pitchFamily="34" charset="0"/>
            </a:rPr>
            <a:t> Tonnen</a:t>
          </a:r>
        </a:p>
        <a:p>
          <a:endParaRPr lang="de-AT" sz="400" baseline="0">
            <a:solidFill>
              <a:srgbClr val="000066"/>
            </a:solidFill>
            <a:latin typeface="Calibri" panose="020F0502020204030204" pitchFamily="34" charset="0"/>
            <a:cs typeface="Calibri" panose="020F0502020204030204" pitchFamily="34" charset="0"/>
          </a:endParaRPr>
        </a:p>
        <a:p>
          <a:r>
            <a:rPr lang="de-AT" sz="1100" baseline="0">
              <a:solidFill>
                <a:srgbClr val="000066"/>
              </a:solidFill>
              <a:latin typeface="Calibri" panose="020F0502020204030204" pitchFamily="34" charset="0"/>
              <a:cs typeface="Calibri" panose="020F0502020204030204" pitchFamily="34" charset="0"/>
            </a:rPr>
            <a:t>ggf. bei Hackschnitzel Umrechnung von srm/m</a:t>
          </a:r>
          <a:r>
            <a:rPr lang="de-AT" sz="1200" baseline="0">
              <a:solidFill>
                <a:srgbClr val="000066"/>
              </a:solidFill>
              <a:latin typeface="Calibri" panose="020F0502020204030204" pitchFamily="34" charset="0"/>
              <a:cs typeface="Calibri" panose="020F0502020204030204" pitchFamily="34" charset="0"/>
            </a:rPr>
            <a:t>³</a:t>
          </a:r>
          <a:r>
            <a:rPr lang="de-AT" sz="1100" baseline="0">
              <a:solidFill>
                <a:srgbClr val="000066"/>
              </a:solidFill>
              <a:latin typeface="Calibri" panose="020F0502020204030204" pitchFamily="34" charset="0"/>
              <a:cs typeface="Calibri" panose="020F0502020204030204" pitchFamily="34" charset="0"/>
            </a:rPr>
            <a:t> in Tonnen notwendig!</a:t>
          </a:r>
          <a:endParaRPr lang="de-AT" sz="1100">
            <a:solidFill>
              <a:srgbClr val="000066"/>
            </a:solidFill>
            <a:latin typeface="Calibri" panose="020F0502020204030204" pitchFamily="34" charset="0"/>
            <a:cs typeface="Calibri" panose="020F0502020204030204" pitchFamily="34" charset="0"/>
          </a:endParaRPr>
        </a:p>
      </xdr:txBody>
    </xdr:sp>
    <xdr:clientData/>
  </xdr:twoCellAnchor>
</xdr:wsDr>
</file>

<file path=xl/drawings/drawing7.xml><?xml version="1.0" encoding="utf-8"?>
<xdr:wsDr xmlns:xdr="http://schemas.openxmlformats.org/drawingml/2006/spreadsheetDrawing" xmlns:a="http://schemas.openxmlformats.org/drawingml/2006/main">
  <xdr:twoCellAnchor editAs="oneCell">
    <xdr:from>
      <xdr:col>21</xdr:col>
      <xdr:colOff>717176</xdr:colOff>
      <xdr:row>1</xdr:row>
      <xdr:rowOff>33618</xdr:rowOff>
    </xdr:from>
    <xdr:to>
      <xdr:col>24</xdr:col>
      <xdr:colOff>816356</xdr:colOff>
      <xdr:row>3</xdr:row>
      <xdr:rowOff>3399</xdr:rowOff>
    </xdr:to>
    <xdr:pic>
      <xdr:nvPicPr>
        <xdr:cNvPr id="3" name="Grafik 2" descr="aws Logo">
          <a:extLst>
            <a:ext uri="{FF2B5EF4-FFF2-40B4-BE49-F238E27FC236}">
              <a16:creationId xmlns:a16="http://schemas.microsoft.com/office/drawing/2014/main" id="{47C28A42-A2C2-4B04-9190-EEE6FCCE83AC}"/>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17503588" y="224118"/>
          <a:ext cx="2385180" cy="552487"/>
        </a:xfrm>
        <a:prstGeom prst="rect">
          <a:avLst/>
        </a:prstGeom>
      </xdr:spPr>
    </xdr:pic>
    <xdr:clientData/>
  </xdr:twoCellAnchor>
</xdr:wsDr>
</file>

<file path=xl/tables/table1.xml><?xml version="1.0" encoding="utf-8"?>
<table xmlns="http://schemas.openxmlformats.org/spreadsheetml/2006/main" id="7" name="tblImportFields" displayName="tblImportFields" ref="A1:B22" totalsRowShown="0" dataDxfId="8">
  <autoFilter ref="A1:B22"/>
  <tableColumns count="2">
    <tableColumn id="1" name="Field" dataDxfId="7"/>
    <tableColumn id="2" name="Value" dataDxfId="6"/>
  </tableColumns>
  <tableStyleInfo name="TableStyleMedium2" showFirstColumn="0" showLastColumn="0" showRowStripes="1" showColumnStripes="0"/>
</table>
</file>

<file path=xl/tables/table2.xml><?xml version="1.0" encoding="utf-8"?>
<table xmlns="http://schemas.openxmlformats.org/spreadsheetml/2006/main" id="8" name="tblValidation" displayName="tblValidation" ref="D1:E4" totalsRowShown="0" dataDxfId="5">
  <autoFilter ref="D1:E4"/>
  <tableColumns count="2">
    <tableColumn id="1" name="Validation" dataDxfId="4"/>
    <tableColumn id="2" name="Value" dataDxfId="3"/>
  </tableColumns>
  <tableStyleInfo name="TableStyleMedium2" showFirstColumn="0" showLastColumn="0" showRowStripes="1" showColumnStripes="0"/>
</table>
</file>

<file path=xl/tables/table3.xml><?xml version="1.0" encoding="utf-8"?>
<table xmlns="http://schemas.openxmlformats.org/spreadsheetml/2006/main" id="1" name="tbl_Energieart" displayName="tbl_Energieart" ref="A1:B4" totalsRowShown="0">
  <autoFilter ref="A1:B4"/>
  <tableColumns count="2">
    <tableColumn id="1" name="Energieart"/>
    <tableColumn id="2" name="Einheit"/>
  </tableColumns>
  <tableStyleInfo name="TableStyleLight8" showFirstColumn="0" showLastColumn="0" showRowStripes="1" showColumnStripes="0"/>
</table>
</file>

<file path=xl/tables/table4.xml><?xml version="1.0" encoding="utf-8"?>
<table xmlns="http://schemas.openxmlformats.org/spreadsheetml/2006/main" id="2" name="tbl_JaNein" displayName="tbl_JaNein" ref="D1:D3" totalsRowShown="0">
  <autoFilter ref="D1:D3"/>
  <tableColumns count="1">
    <tableColumn id="1" name="JaNein"/>
  </tableColumns>
  <tableStyleInfo name="TableStyleLight8" showFirstColumn="0" showLastColumn="0" showRowStripes="1" showColumnStripes="0"/>
</table>
</file>

<file path=xl/tables/table5.xml><?xml version="1.0" encoding="utf-8"?>
<table xmlns="http://schemas.openxmlformats.org/spreadsheetml/2006/main" id="3" name="tbl_Treibstoffart" displayName="tbl_Treibstoffart" ref="F1:F3" totalsRowShown="0">
  <autoFilter ref="F1:F3"/>
  <tableColumns count="1">
    <tableColumn id="1" name="Treibstoffart"/>
  </tableColumns>
  <tableStyleInfo name="TableStyleLight8" showFirstColumn="0" showLastColumn="0" showRowStripes="1" showColumnStripes="0"/>
</table>
</file>

<file path=xl/tables/table6.xml><?xml version="1.0" encoding="utf-8"?>
<table xmlns="http://schemas.openxmlformats.org/spreadsheetml/2006/main" id="4" name="tbl_Heizöl" displayName="tbl_Heizöl" ref="M1:O3" totalsRowShown="0">
  <autoFilter ref="M1:O3"/>
  <tableColumns count="3">
    <tableColumn id="1" name="Heizölart"/>
    <tableColumn id="2" name="Details" dataDxfId="1"/>
    <tableColumn id="3" name="MÖSt je l" dataDxfId="0"/>
  </tableColumns>
  <tableStyleInfo name="TableStyleLight8" showFirstColumn="0" showLastColumn="0" showRowStripes="1" showColumnStripes="0"/>
</table>
</file>

<file path=xl/tables/table7.xml><?xml version="1.0" encoding="utf-8"?>
<table xmlns="http://schemas.openxmlformats.org/spreadsheetml/2006/main" id="5" name="tbl_Energieträger" displayName="tbl_Energieträger" ref="H1:I4" totalsRowShown="0">
  <autoFilter ref="H1:I4"/>
  <tableColumns count="2">
    <tableColumn id="1" name="Energieträger"/>
    <tableColumn id="2" name="Einheit"/>
  </tableColumns>
  <tableStyleInfo name="TableStyleLight8" showFirstColumn="0" showLastColumn="0" showRowStripes="1" showColumnStripes="0"/>
</table>
</file>

<file path=xl/tables/table8.xml><?xml version="1.0" encoding="utf-8"?>
<table xmlns="http://schemas.openxmlformats.org/spreadsheetml/2006/main" id="6" name="tbl_Methoden" displayName="tbl_Methoden" ref="K1:K3" totalsRowShown="0">
  <autoFilter ref="K1:K3"/>
  <tableColumns count="1">
    <tableColumn id="1" name="Methoden"/>
  </tableColumns>
  <tableStyleInfo name="TableStyleLight8" showFirstColumn="0" showLastColumn="0" showRowStripes="1" showColumnStripes="0"/>
</table>
</file>

<file path=xl/tables/table9.xml><?xml version="1.0" encoding="utf-8"?>
<table xmlns="http://schemas.openxmlformats.org/spreadsheetml/2006/main" id="13" name="tab_EBITDA" displayName="tab_EBITDA" ref="Q1:Q3" totalsRowShown="0">
  <autoFilter ref="Q1:Q3"/>
  <tableColumns count="1">
    <tableColumn id="1" name="EBITDA"/>
  </tableColumns>
  <tableStyleInfo name="TableStyleLight8" showFirstColumn="0" showLastColumn="0" showRowStripes="1" showColumnStripes="0"/>
</table>
</file>

<file path=xl/theme/theme1.xml><?xml version="1.0" encoding="utf-8"?>
<a:theme xmlns:a="http://schemas.openxmlformats.org/drawingml/2006/main" name="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AWS 2">
      <a:majorFont>
        <a:latin typeface="Arial Black"/>
        <a:ea typeface=""/>
        <a:cs typeface=""/>
      </a:majorFont>
      <a:minorFont>
        <a:latin typeface="Trebuchet MS"/>
        <a:ea typeface=""/>
        <a:cs typeface=""/>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drawing" Target="../drawings/drawing1.xml"/></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1.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2.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3.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4.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5.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6.bin"/></Relationships>
</file>

<file path=xl/worksheets/_rels/sheet8.xml.rels><?xml version="1.0" encoding="UTF-8" standalone="yes"?>
<Relationships xmlns="http://schemas.openxmlformats.org/package/2006/relationships"><Relationship Id="rId3" Type="http://schemas.openxmlformats.org/officeDocument/2006/relationships/table" Target="../tables/table2.xml"/><Relationship Id="rId2" Type="http://schemas.openxmlformats.org/officeDocument/2006/relationships/table" Target="../tables/table1.xml"/><Relationship Id="rId1" Type="http://schemas.openxmlformats.org/officeDocument/2006/relationships/printerSettings" Target="../printerSettings/printerSettings7.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1.xml.rels><?xml version="1.0" encoding="UTF-8" standalone="yes"?>
<Relationships xmlns="http://schemas.openxmlformats.org/package/2006/relationships"><Relationship Id="rId3" Type="http://schemas.openxmlformats.org/officeDocument/2006/relationships/table" Target="../tables/table5.xml"/><Relationship Id="rId7" Type="http://schemas.openxmlformats.org/officeDocument/2006/relationships/table" Target="../tables/table9.xml"/><Relationship Id="rId2" Type="http://schemas.openxmlformats.org/officeDocument/2006/relationships/table" Target="../tables/table4.xml"/><Relationship Id="rId1" Type="http://schemas.openxmlformats.org/officeDocument/2006/relationships/table" Target="../tables/table3.xml"/><Relationship Id="rId6" Type="http://schemas.openxmlformats.org/officeDocument/2006/relationships/table" Target="../tables/table8.xml"/><Relationship Id="rId5" Type="http://schemas.openxmlformats.org/officeDocument/2006/relationships/table" Target="../tables/table7.xml"/><Relationship Id="rId4" Type="http://schemas.openxmlformats.org/officeDocument/2006/relationships/table" Target="../tables/table6.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Tabelle5"/>
  <dimension ref="K25"/>
  <sheetViews>
    <sheetView showGridLines="0" tabSelected="1" workbookViewId="0"/>
  </sheetViews>
  <sheetFormatPr baseColWidth="10" defaultColWidth="10.7109375" defaultRowHeight="15" x14ac:dyDescent="0.25"/>
  <sheetData>
    <row r="25" spans="11:11" x14ac:dyDescent="0.25">
      <c r="K25" s="104"/>
    </row>
  </sheetData>
  <sheetProtection algorithmName="SHA-512" hashValue="9HXMEvHcXtksFYya8ME/ZOweR1EFYXLK7IGd5iNva8jiEf5Uv/bgP1RY4nt4sACytk59W8DDjnknUSP5EVFstQ==" saltValue="TlliB/sy0wlLXYlLF/ElDQ==" spinCount="100000" sheet="1" objects="1" scenarios="1"/>
  <pageMargins left="0.7" right="0.7" top="0.78740157499999996" bottom="0.78740157499999996" header="0.3" footer="0.3"/>
  <drawing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Tabelle1"/>
  <dimension ref="A1:AD125"/>
  <sheetViews>
    <sheetView showGridLines="0" zoomScale="90" zoomScaleNormal="90" zoomScaleSheetLayoutView="40" workbookViewId="0"/>
  </sheetViews>
  <sheetFormatPr baseColWidth="10" defaultColWidth="10.7109375" defaultRowHeight="16.5" x14ac:dyDescent="0.3"/>
  <cols>
    <col min="1" max="1" width="2.42578125" style="25" customWidth="1"/>
    <col min="2" max="2" width="38.7109375" style="34" customWidth="1"/>
    <col min="3" max="3" width="10.7109375" style="34"/>
    <col min="4" max="4" width="5.28515625" style="34" customWidth="1"/>
    <col min="5" max="5" width="3.28515625" style="34" customWidth="1"/>
    <col min="6" max="6" width="2.42578125" style="34" customWidth="1"/>
    <col min="7" max="7" width="2.7109375" style="34" customWidth="1"/>
    <col min="8" max="8" width="29.28515625" style="34" customWidth="1"/>
    <col min="9" max="9" width="10.7109375" style="34"/>
    <col min="10" max="10" width="12.42578125" style="34" customWidth="1"/>
    <col min="11" max="21" width="10.7109375" style="34"/>
    <col min="22" max="22" width="16.5703125" style="34" customWidth="1"/>
    <col min="23" max="23" width="11.85546875" style="34" customWidth="1"/>
    <col min="24" max="30" width="10.7109375" style="26"/>
    <col min="31" max="16384" width="10.7109375" style="34"/>
  </cols>
  <sheetData>
    <row r="1" spans="2:30" s="25" customFormat="1" x14ac:dyDescent="0.3">
      <c r="X1" s="26"/>
      <c r="Y1" s="26"/>
      <c r="Z1" s="26"/>
      <c r="AA1" s="26"/>
      <c r="AB1" s="26"/>
      <c r="AC1" s="26"/>
      <c r="AD1" s="26"/>
    </row>
    <row r="2" spans="2:30" s="25" customFormat="1" ht="27" x14ac:dyDescent="0.5">
      <c r="B2" s="84" t="s">
        <v>0</v>
      </c>
      <c r="X2" s="26"/>
      <c r="Y2" s="26"/>
      <c r="Z2" s="26"/>
      <c r="AA2" s="26"/>
      <c r="AB2" s="26"/>
      <c r="AC2" s="26"/>
      <c r="AD2" s="26"/>
    </row>
    <row r="3" spans="2:30" s="25" customFormat="1" ht="18.75" x14ac:dyDescent="0.3">
      <c r="B3" s="28" t="str">
        <f>"In vier Schritten zur Berechnung Ihres möglichen Zuschusses in der " &amp; par_EZ_Stufe &amp; " (für Unternehmen mit Energie-, Strom- und Treibstoffbeschaffungskosten bis EUR " &amp; par_EZ_Grenze_txt &amp; ".)"</f>
        <v>In vier Schritten zur Berechnung Ihres möglichen Zuschusses in der Basisstufe (für Unternehmen mit Energie-, Strom- und Treibstoffbeschaffungskosten bis EUR 80 Mio.)</v>
      </c>
      <c r="X3" s="26"/>
      <c r="Y3" s="26"/>
      <c r="Z3" s="26"/>
      <c r="AA3" s="26"/>
      <c r="AB3" s="26"/>
      <c r="AC3" s="26"/>
      <c r="AD3" s="26"/>
    </row>
    <row r="4" spans="2:30" s="25" customFormat="1" x14ac:dyDescent="0.3">
      <c r="B4" s="29"/>
      <c r="C4" s="64"/>
      <c r="X4" s="26"/>
      <c r="Y4" s="26"/>
      <c r="Z4" s="26"/>
      <c r="AA4" s="26"/>
      <c r="AB4" s="26"/>
      <c r="AC4" s="26"/>
      <c r="AD4" s="26"/>
    </row>
    <row r="5" spans="2:30" s="25" customFormat="1" ht="17.25" thickBot="1" x14ac:dyDescent="0.35">
      <c r="B5" s="29"/>
      <c r="X5" s="26"/>
      <c r="Y5" s="26"/>
      <c r="Z5" s="26"/>
      <c r="AA5" s="26"/>
      <c r="AB5" s="26"/>
      <c r="AC5" s="26"/>
      <c r="AD5" s="26"/>
    </row>
    <row r="6" spans="2:30" s="25" customFormat="1" ht="17.25" thickBot="1" x14ac:dyDescent="0.35">
      <c r="B6" s="105" t="s">
        <v>2</v>
      </c>
      <c r="C6" s="95"/>
      <c r="D6" s="95"/>
      <c r="E6" s="95"/>
      <c r="F6" s="95"/>
      <c r="G6" s="95"/>
      <c r="H6" s="240"/>
      <c r="I6" s="96"/>
      <c r="J6" s="96"/>
      <c r="K6" s="96"/>
      <c r="L6" s="95"/>
      <c r="M6" s="95"/>
      <c r="N6" s="95"/>
      <c r="O6" s="95"/>
      <c r="P6" s="95"/>
      <c r="Q6" s="95"/>
      <c r="R6" s="95"/>
      <c r="S6" s="95"/>
      <c r="T6" s="95"/>
      <c r="U6" s="95"/>
      <c r="V6" s="95"/>
      <c r="W6" s="95"/>
      <c r="X6" s="106"/>
      <c r="Y6" s="106"/>
      <c r="Z6" s="106"/>
      <c r="AA6" s="106"/>
      <c r="AB6" s="106"/>
      <c r="AC6" s="106"/>
      <c r="AD6" s="26"/>
    </row>
    <row r="7" spans="2:30" s="25" customFormat="1" x14ac:dyDescent="0.3">
      <c r="B7" s="105"/>
      <c r="C7" s="95"/>
      <c r="D7" s="95"/>
      <c r="E7" s="95"/>
      <c r="F7" s="95"/>
      <c r="G7" s="95"/>
      <c r="H7" s="107"/>
      <c r="I7" s="96"/>
      <c r="J7" s="96"/>
      <c r="K7" s="96"/>
      <c r="L7" s="95"/>
      <c r="M7" s="95"/>
      <c r="N7" s="95"/>
      <c r="O7" s="95"/>
      <c r="P7" s="95"/>
      <c r="Q7" s="95"/>
      <c r="R7" s="95"/>
      <c r="S7" s="95"/>
      <c r="T7" s="95"/>
      <c r="U7" s="95"/>
      <c r="V7" s="95"/>
      <c r="W7" s="95"/>
      <c r="X7" s="106"/>
      <c r="Y7" s="106"/>
      <c r="Z7" s="106"/>
      <c r="AA7" s="106"/>
      <c r="AB7" s="106"/>
      <c r="AC7" s="106"/>
      <c r="AD7" s="26"/>
    </row>
    <row r="8" spans="2:30" s="25" customFormat="1" ht="17.25" thickBot="1" x14ac:dyDescent="0.35">
      <c r="B8" s="108"/>
      <c r="C8" s="99"/>
      <c r="D8" s="99"/>
      <c r="E8" s="99"/>
      <c r="F8" s="99"/>
      <c r="G8" s="99"/>
      <c r="H8" s="99"/>
      <c r="I8" s="99"/>
      <c r="J8" s="99"/>
      <c r="K8" s="99"/>
      <c r="L8" s="99"/>
      <c r="M8" s="99"/>
      <c r="N8" s="99"/>
      <c r="O8" s="99"/>
      <c r="P8" s="99"/>
      <c r="Q8" s="99"/>
      <c r="R8" s="99"/>
      <c r="S8" s="99"/>
      <c r="T8" s="99"/>
      <c r="U8" s="99"/>
      <c r="V8" s="99"/>
      <c r="W8" s="99"/>
      <c r="X8" s="99"/>
      <c r="Y8" s="99"/>
      <c r="Z8" s="99"/>
      <c r="AA8" s="99"/>
      <c r="AB8" s="106"/>
      <c r="AC8" s="106"/>
      <c r="AD8" s="26"/>
    </row>
    <row r="9" spans="2:30" ht="17.25" thickBot="1" x14ac:dyDescent="0.35">
      <c r="B9" s="109" t="s">
        <v>3</v>
      </c>
      <c r="C9" s="109"/>
      <c r="D9" s="109"/>
      <c r="E9" s="292"/>
      <c r="F9" s="293"/>
      <c r="G9" s="293"/>
      <c r="H9" s="294"/>
      <c r="I9" s="33" t="s">
        <v>4</v>
      </c>
      <c r="J9" s="109" t="s">
        <v>5</v>
      </c>
      <c r="K9" s="109"/>
      <c r="L9" s="109"/>
      <c r="M9" s="109"/>
      <c r="N9" s="109"/>
      <c r="O9" s="109"/>
      <c r="P9" s="109"/>
      <c r="Q9" s="109"/>
      <c r="R9" s="109"/>
      <c r="S9" s="109"/>
      <c r="T9" s="109"/>
      <c r="U9" s="109"/>
      <c r="V9" s="109"/>
      <c r="W9" s="109"/>
      <c r="X9" s="109"/>
      <c r="Y9" s="109"/>
      <c r="Z9" s="109"/>
      <c r="AA9" s="109"/>
      <c r="AB9" s="106"/>
      <c r="AC9" s="106"/>
    </row>
    <row r="10" spans="2:30" x14ac:dyDescent="0.3">
      <c r="B10" s="109"/>
      <c r="C10" s="109"/>
      <c r="D10" s="109"/>
      <c r="E10" s="111"/>
      <c r="F10" s="98"/>
      <c r="G10" s="98"/>
      <c r="H10" s="98"/>
      <c r="I10" s="110"/>
      <c r="J10" s="109"/>
      <c r="K10" s="109"/>
      <c r="L10" s="109"/>
      <c r="M10" s="109"/>
      <c r="N10" s="109"/>
      <c r="O10" s="109"/>
      <c r="P10" s="109"/>
      <c r="Q10" s="109"/>
      <c r="R10" s="109"/>
      <c r="S10" s="109"/>
      <c r="T10" s="109"/>
      <c r="U10" s="109"/>
      <c r="V10" s="109"/>
      <c r="W10" s="109"/>
      <c r="X10" s="109"/>
      <c r="Y10" s="109"/>
      <c r="Z10" s="109"/>
      <c r="AA10" s="109"/>
      <c r="AB10" s="106"/>
      <c r="AC10" s="106"/>
    </row>
    <row r="11" spans="2:30" x14ac:dyDescent="0.3">
      <c r="B11" s="112"/>
      <c r="C11" s="112"/>
      <c r="D11" s="112"/>
      <c r="E11" s="113"/>
      <c r="F11" s="114"/>
      <c r="G11" s="114"/>
      <c r="H11" s="114"/>
      <c r="I11" s="115"/>
      <c r="J11" s="112"/>
      <c r="K11" s="112"/>
      <c r="L11" s="112"/>
      <c r="M11" s="112"/>
      <c r="N11" s="112"/>
      <c r="O11" s="112"/>
      <c r="P11" s="112"/>
      <c r="Q11" s="112"/>
      <c r="R11" s="112"/>
      <c r="S11" s="112"/>
      <c r="T11" s="112"/>
      <c r="U11" s="112"/>
      <c r="V11" s="112"/>
      <c r="W11" s="112"/>
      <c r="X11" s="112"/>
      <c r="Y11" s="112"/>
      <c r="Z11" s="112"/>
      <c r="AA11" s="112"/>
      <c r="AB11" s="106"/>
      <c r="AC11" s="106"/>
    </row>
    <row r="12" spans="2:30" ht="18.75" x14ac:dyDescent="0.4">
      <c r="B12" s="83" t="str">
        <f>"Schritt 1: Berechnung des Durchschnittsarbeitspreises in der Vergleichsperiode " &amp; par_Jahr1</f>
        <v>Schritt 1: Berechnung des Durchschnittsarbeitspreises in der Vergleichsperiode 2021</v>
      </c>
      <c r="C12" s="109"/>
      <c r="D12" s="109"/>
      <c r="E12" s="109"/>
      <c r="F12" s="109"/>
      <c r="G12" s="109"/>
      <c r="H12" s="109"/>
      <c r="I12" s="109"/>
      <c r="J12" s="109"/>
      <c r="K12" s="109"/>
      <c r="L12" s="109"/>
      <c r="M12" s="109"/>
      <c r="N12" s="109"/>
      <c r="O12" s="109"/>
      <c r="P12" s="109"/>
      <c r="Q12" s="109"/>
      <c r="R12" s="109"/>
      <c r="S12" s="109"/>
      <c r="T12" s="109"/>
      <c r="U12" s="109"/>
      <c r="V12" s="109"/>
      <c r="W12" s="109"/>
      <c r="X12" s="109"/>
      <c r="Y12" s="109"/>
      <c r="Z12" s="109"/>
      <c r="AA12" s="109"/>
      <c r="AB12" s="106"/>
      <c r="AC12" s="106"/>
    </row>
    <row r="13" spans="2:30" x14ac:dyDescent="0.3">
      <c r="B13" s="109"/>
      <c r="C13" s="109"/>
      <c r="D13" s="109"/>
      <c r="E13" s="109"/>
      <c r="F13" s="109"/>
      <c r="G13" s="109"/>
      <c r="H13" s="109"/>
      <c r="I13" s="109"/>
      <c r="J13" s="109"/>
      <c r="K13" s="109"/>
      <c r="L13" s="109"/>
      <c r="M13" s="109"/>
      <c r="N13" s="109"/>
      <c r="O13" s="109"/>
      <c r="P13" s="109"/>
      <c r="Q13" s="109"/>
      <c r="R13" s="109"/>
      <c r="S13" s="109"/>
      <c r="T13" s="109"/>
      <c r="U13" s="109"/>
      <c r="V13" s="109"/>
      <c r="W13" s="109"/>
      <c r="X13" s="109"/>
      <c r="Y13" s="109"/>
      <c r="Z13" s="109"/>
      <c r="AA13" s="109"/>
      <c r="AB13" s="106"/>
      <c r="AC13" s="106"/>
    </row>
    <row r="14" spans="2:30" x14ac:dyDescent="0.3">
      <c r="B14" s="109" t="s">
        <v>121</v>
      </c>
      <c r="C14" s="109"/>
      <c r="D14" s="109"/>
      <c r="E14" s="109"/>
      <c r="F14" s="109"/>
      <c r="G14" s="109"/>
      <c r="H14" s="109"/>
      <c r="I14" s="109"/>
      <c r="J14" s="109"/>
      <c r="K14" s="109"/>
      <c r="L14" s="109"/>
      <c r="M14" s="109"/>
      <c r="N14" s="109"/>
      <c r="O14" s="109"/>
      <c r="P14" s="109"/>
      <c r="Q14" s="109"/>
      <c r="R14" s="109"/>
      <c r="S14" s="109"/>
      <c r="T14" s="109"/>
      <c r="U14" s="109"/>
      <c r="V14" s="109"/>
      <c r="W14" s="109"/>
      <c r="X14" s="109"/>
      <c r="Y14" s="109"/>
      <c r="Z14" s="109"/>
      <c r="AA14" s="109"/>
      <c r="AB14" s="106"/>
      <c r="AC14" s="106"/>
    </row>
    <row r="15" spans="2:30" x14ac:dyDescent="0.3">
      <c r="B15" s="109" t="s">
        <v>200</v>
      </c>
      <c r="C15" s="109"/>
      <c r="D15" s="109"/>
      <c r="E15" s="109"/>
      <c r="F15" s="109"/>
      <c r="G15" s="109"/>
      <c r="H15" s="109"/>
      <c r="I15" s="109"/>
      <c r="J15" s="109"/>
      <c r="K15" s="109"/>
      <c r="L15" s="109"/>
      <c r="M15" s="109"/>
      <c r="N15" s="109"/>
      <c r="O15" s="109"/>
      <c r="P15" s="109"/>
      <c r="Q15" s="109"/>
      <c r="R15" s="109"/>
      <c r="S15" s="109"/>
      <c r="T15" s="109"/>
      <c r="U15" s="109"/>
      <c r="V15" s="109"/>
      <c r="W15" s="109"/>
      <c r="X15" s="109"/>
      <c r="Y15" s="109"/>
      <c r="Z15" s="109"/>
      <c r="AA15" s="109"/>
      <c r="AB15" s="106"/>
      <c r="AC15" s="106"/>
    </row>
    <row r="16" spans="2:30" ht="17.25" thickBot="1" x14ac:dyDescent="0.35">
      <c r="B16" s="116"/>
      <c r="C16" s="116"/>
      <c r="D16" s="116"/>
      <c r="E16" s="116"/>
      <c r="F16" s="116"/>
      <c r="G16" s="116"/>
      <c r="H16" s="116"/>
      <c r="I16" s="116"/>
      <c r="J16" s="116"/>
      <c r="K16" s="116"/>
      <c r="L16" s="116"/>
      <c r="M16" s="116"/>
      <c r="N16" s="116"/>
      <c r="O16" s="116"/>
      <c r="P16" s="116"/>
      <c r="Q16" s="116"/>
      <c r="R16" s="116"/>
      <c r="S16" s="116"/>
      <c r="T16" s="116"/>
      <c r="U16" s="116"/>
      <c r="V16" s="116"/>
      <c r="W16" s="116"/>
      <c r="X16" s="116"/>
      <c r="Y16" s="116"/>
      <c r="Z16" s="116"/>
      <c r="AA16" s="116"/>
      <c r="AB16" s="106"/>
      <c r="AC16" s="106"/>
    </row>
    <row r="17" spans="2:29" x14ac:dyDescent="0.3">
      <c r="B17" s="109"/>
      <c r="C17" s="109"/>
      <c r="D17" s="109"/>
      <c r="E17" s="109"/>
      <c r="F17" s="109"/>
      <c r="G17" s="109"/>
      <c r="H17" s="117"/>
      <c r="I17" s="117"/>
      <c r="J17" s="110"/>
      <c r="K17" s="109"/>
      <c r="L17" s="109"/>
      <c r="M17" s="109"/>
      <c r="N17" s="109"/>
      <c r="O17" s="109"/>
      <c r="P17" s="109"/>
      <c r="Q17" s="109"/>
      <c r="R17" s="109"/>
      <c r="S17" s="109"/>
      <c r="T17" s="109"/>
      <c r="U17" s="109"/>
      <c r="V17" s="109"/>
      <c r="W17" s="109"/>
      <c r="X17" s="118"/>
      <c r="Y17" s="109"/>
      <c r="Z17" s="109"/>
      <c r="AA17" s="109"/>
      <c r="AB17" s="106"/>
      <c r="AC17" s="106"/>
    </row>
    <row r="18" spans="2:29" ht="18.75" x14ac:dyDescent="0.4">
      <c r="B18" s="83" t="s">
        <v>15</v>
      </c>
      <c r="C18" s="109"/>
      <c r="D18" s="109"/>
      <c r="E18" s="109"/>
      <c r="F18" s="109"/>
      <c r="G18" s="109"/>
      <c r="H18" s="117"/>
      <c r="I18" s="117"/>
      <c r="J18" s="110"/>
      <c r="K18" s="109"/>
      <c r="L18" s="109"/>
      <c r="M18" s="109"/>
      <c r="N18" s="109"/>
      <c r="O18" s="109"/>
      <c r="P18" s="109"/>
      <c r="Q18" s="109"/>
      <c r="R18" s="109"/>
      <c r="S18" s="109"/>
      <c r="T18" s="109"/>
      <c r="U18" s="109"/>
      <c r="V18" s="109"/>
      <c r="W18" s="109"/>
      <c r="X18" s="118"/>
      <c r="Y18" s="109"/>
      <c r="Z18" s="109"/>
      <c r="AA18" s="109"/>
      <c r="AB18" s="106"/>
      <c r="AC18" s="106"/>
    </row>
    <row r="19" spans="2:29" x14ac:dyDescent="0.3">
      <c r="B19" s="109" t="s">
        <v>16</v>
      </c>
      <c r="C19" s="109"/>
      <c r="D19" s="109"/>
      <c r="E19" s="109"/>
      <c r="F19" s="109"/>
      <c r="G19" s="109"/>
      <c r="H19" s="127">
        <f>SUMIFS(H:H,B:B,"Nettorechnungsbetrag (" &amp;B18 &amp; ")")</f>
        <v>0</v>
      </c>
      <c r="I19" s="128" t="s">
        <v>12</v>
      </c>
      <c r="J19" s="130"/>
      <c r="K19" s="118"/>
      <c r="L19" s="118"/>
      <c r="M19" s="118"/>
      <c r="N19" s="118"/>
      <c r="O19" s="118"/>
      <c r="P19" s="118"/>
      <c r="Q19" s="118"/>
      <c r="R19" s="118"/>
      <c r="S19" s="118"/>
      <c r="T19" s="118"/>
      <c r="U19" s="118"/>
      <c r="V19" s="118"/>
      <c r="W19" s="118"/>
      <c r="X19" s="118"/>
      <c r="Y19" s="118"/>
      <c r="Z19" s="118"/>
      <c r="AA19" s="118"/>
      <c r="AB19" s="106"/>
      <c r="AC19" s="106"/>
    </row>
    <row r="20" spans="2:29" x14ac:dyDescent="0.3">
      <c r="B20" s="109" t="str">
        <f>B18&amp;"verbrauch aller Zählpunkte in " &amp; VLOOKUP(B18,tbl_Energieart[],2,0) &amp; " im Gesamtjahr"</f>
        <v>Stromverbrauch aller Zählpunkte in kWh im Gesamtjahr</v>
      </c>
      <c r="C20" s="109"/>
      <c r="D20" s="109"/>
      <c r="E20" s="109"/>
      <c r="F20" s="109"/>
      <c r="G20" s="109"/>
      <c r="H20" s="127">
        <f>SUMIFS(H:H,B:B,B18 &amp; "verbrauch in kWh*")</f>
        <v>0</v>
      </c>
      <c r="I20" s="128" t="s">
        <v>13</v>
      </c>
      <c r="J20" s="118"/>
      <c r="K20" s="118"/>
      <c r="L20" s="118"/>
      <c r="M20" s="118"/>
      <c r="N20" s="118"/>
      <c r="O20" s="118"/>
      <c r="P20" s="118"/>
      <c r="Q20" s="118"/>
      <c r="R20" s="118"/>
      <c r="S20" s="118"/>
      <c r="T20" s="118"/>
      <c r="U20" s="118"/>
      <c r="V20" s="118"/>
      <c r="W20" s="118"/>
      <c r="X20" s="118"/>
      <c r="Y20" s="118"/>
      <c r="Z20" s="118"/>
      <c r="AA20" s="118"/>
      <c r="AB20" s="106"/>
      <c r="AC20" s="106"/>
    </row>
    <row r="21" spans="2:29" x14ac:dyDescent="0.3">
      <c r="B21" s="109" t="s">
        <v>17</v>
      </c>
      <c r="C21" s="109"/>
      <c r="D21" s="109"/>
      <c r="E21" s="109"/>
      <c r="F21" s="109"/>
      <c r="G21" s="109"/>
      <c r="H21" s="129">
        <f>IFERROR(ROUND(H19/H20,4),0)</f>
        <v>0</v>
      </c>
      <c r="I21" s="128" t="s">
        <v>12</v>
      </c>
      <c r="J21" s="131" t="s">
        <v>202</v>
      </c>
      <c r="K21" s="132" t="s">
        <v>206</v>
      </c>
      <c r="L21" s="118"/>
      <c r="M21" s="118"/>
      <c r="N21" s="118"/>
      <c r="O21" s="118"/>
      <c r="P21" s="118"/>
      <c r="Q21" s="118"/>
      <c r="R21" s="118"/>
      <c r="S21" s="118"/>
      <c r="T21" s="118"/>
      <c r="U21" s="118"/>
      <c r="V21" s="118"/>
      <c r="W21" s="118"/>
      <c r="X21" s="118"/>
      <c r="Y21" s="118"/>
      <c r="Z21" s="118"/>
      <c r="AA21" s="118" t="str">
        <f>IF(H21&gt;=1,"JA","NEIN")</f>
        <v>NEIN</v>
      </c>
      <c r="AB21" s="106"/>
      <c r="AC21" s="106"/>
    </row>
    <row r="22" spans="2:29" x14ac:dyDescent="0.3">
      <c r="B22" s="109"/>
      <c r="C22" s="109"/>
      <c r="D22" s="109"/>
      <c r="E22" s="109"/>
      <c r="F22" s="109"/>
      <c r="G22" s="109"/>
      <c r="H22" s="119"/>
      <c r="I22" s="120"/>
      <c r="J22" s="118"/>
      <c r="K22" s="118"/>
      <c r="L22" s="118"/>
      <c r="M22" s="118"/>
      <c r="N22" s="118"/>
      <c r="O22" s="118"/>
      <c r="P22" s="118"/>
      <c r="Q22" s="118"/>
      <c r="R22" s="118"/>
      <c r="S22" s="118"/>
      <c r="T22" s="118"/>
      <c r="U22" s="118"/>
      <c r="V22" s="118"/>
      <c r="W22" s="118"/>
      <c r="X22" s="118"/>
      <c r="Y22" s="118"/>
      <c r="Z22" s="118"/>
      <c r="AA22" s="118"/>
      <c r="AB22" s="106"/>
      <c r="AC22" s="106"/>
    </row>
    <row r="23" spans="2:29" ht="18.75" x14ac:dyDescent="0.4">
      <c r="B23" s="83" t="s">
        <v>18</v>
      </c>
      <c r="C23" s="109"/>
      <c r="D23" s="109"/>
      <c r="E23" s="109"/>
      <c r="F23" s="109"/>
      <c r="G23" s="109"/>
      <c r="H23" s="119"/>
      <c r="I23" s="120"/>
      <c r="J23" s="118"/>
      <c r="K23" s="118"/>
      <c r="L23" s="118"/>
      <c r="M23" s="118"/>
      <c r="N23" s="118"/>
      <c r="O23" s="118"/>
      <c r="P23" s="118"/>
      <c r="Q23" s="118"/>
      <c r="R23" s="118"/>
      <c r="S23" s="118"/>
      <c r="T23" s="118"/>
      <c r="U23" s="118"/>
      <c r="V23" s="118"/>
      <c r="W23" s="118"/>
      <c r="X23" s="118"/>
      <c r="Y23" s="118"/>
      <c r="Z23" s="118"/>
      <c r="AA23" s="118"/>
      <c r="AB23" s="106"/>
      <c r="AC23" s="106"/>
    </row>
    <row r="24" spans="2:29" x14ac:dyDescent="0.3">
      <c r="B24" s="109" t="s">
        <v>16</v>
      </c>
      <c r="C24" s="109"/>
      <c r="D24" s="109"/>
      <c r="E24" s="109"/>
      <c r="F24" s="109"/>
      <c r="G24" s="109"/>
      <c r="H24" s="127">
        <f>SUMIFS(H:H,B:B,"Nettorechnungsbetrag (" &amp;B23 &amp; ")")</f>
        <v>0</v>
      </c>
      <c r="I24" s="128" t="s">
        <v>12</v>
      </c>
      <c r="J24" s="130"/>
      <c r="K24" s="118"/>
      <c r="L24" s="118"/>
      <c r="M24" s="118"/>
      <c r="N24" s="118"/>
      <c r="O24" s="118"/>
      <c r="P24" s="118"/>
      <c r="Q24" s="118"/>
      <c r="R24" s="118"/>
      <c r="S24" s="118"/>
      <c r="T24" s="118"/>
      <c r="U24" s="118"/>
      <c r="V24" s="118"/>
      <c r="W24" s="118"/>
      <c r="X24" s="118"/>
      <c r="Y24" s="118"/>
      <c r="Z24" s="118"/>
      <c r="AA24" s="118"/>
      <c r="AB24" s="106"/>
      <c r="AC24" s="106"/>
    </row>
    <row r="25" spans="2:29" x14ac:dyDescent="0.3">
      <c r="B25" s="109" t="str">
        <f>B23&amp;"verbrauch aller Zählpunkte in " &amp; VLOOKUP(B23,tbl_Energieart[],2,0) &amp; " im Gesamtjahr"</f>
        <v>Erdgasverbrauch aller Zählpunkte in kWh im Gesamtjahr</v>
      </c>
      <c r="C25" s="109"/>
      <c r="D25" s="109"/>
      <c r="E25" s="109"/>
      <c r="F25" s="109"/>
      <c r="G25" s="109"/>
      <c r="H25" s="127">
        <f>SUMIFS(H:H,B:B,B23 &amp; "verbrauch in kWh*")</f>
        <v>0</v>
      </c>
      <c r="I25" s="128" t="s">
        <v>13</v>
      </c>
      <c r="J25" s="118"/>
      <c r="K25" s="118"/>
      <c r="L25" s="118"/>
      <c r="M25" s="118"/>
      <c r="N25" s="118"/>
      <c r="O25" s="118"/>
      <c r="P25" s="118"/>
      <c r="Q25" s="118"/>
      <c r="R25" s="118"/>
      <c r="S25" s="118"/>
      <c r="T25" s="118"/>
      <c r="U25" s="118"/>
      <c r="V25" s="118"/>
      <c r="W25" s="118"/>
      <c r="X25" s="118"/>
      <c r="Y25" s="118"/>
      <c r="Z25" s="118"/>
      <c r="AA25" s="118"/>
      <c r="AB25" s="106"/>
      <c r="AC25" s="106"/>
    </row>
    <row r="26" spans="2:29" x14ac:dyDescent="0.3">
      <c r="B26" s="109" t="s">
        <v>17</v>
      </c>
      <c r="C26" s="109"/>
      <c r="D26" s="109"/>
      <c r="E26" s="109"/>
      <c r="F26" s="109"/>
      <c r="G26" s="109"/>
      <c r="H26" s="129">
        <f>IFERROR(ROUND(H24/H25,4),0)</f>
        <v>0</v>
      </c>
      <c r="I26" s="128" t="s">
        <v>12</v>
      </c>
      <c r="J26" s="131" t="s">
        <v>202</v>
      </c>
      <c r="K26" s="132" t="s">
        <v>206</v>
      </c>
      <c r="L26" s="118"/>
      <c r="M26" s="118"/>
      <c r="N26" s="118"/>
      <c r="O26" s="118"/>
      <c r="P26" s="118"/>
      <c r="Q26" s="118"/>
      <c r="R26" s="118"/>
      <c r="S26" s="118"/>
      <c r="T26" s="118"/>
      <c r="U26" s="118"/>
      <c r="V26" s="118"/>
      <c r="W26" s="118"/>
      <c r="X26" s="118"/>
      <c r="Y26" s="118"/>
      <c r="Z26" s="118"/>
      <c r="AA26" s="118" t="str">
        <f>IF(H26&gt;=1,"JA","NEIN")</f>
        <v>NEIN</v>
      </c>
      <c r="AB26" s="106"/>
      <c r="AC26" s="106"/>
    </row>
    <row r="27" spans="2:29" x14ac:dyDescent="0.3">
      <c r="B27" s="109"/>
      <c r="C27" s="109"/>
      <c r="D27" s="109"/>
      <c r="E27" s="109"/>
      <c r="F27" s="109"/>
      <c r="G27" s="109"/>
      <c r="H27" s="109"/>
      <c r="I27" s="109"/>
      <c r="J27" s="118"/>
      <c r="K27" s="118"/>
      <c r="L27" s="118"/>
      <c r="M27" s="118"/>
      <c r="N27" s="118"/>
      <c r="O27" s="118"/>
      <c r="P27" s="118"/>
      <c r="Q27" s="118"/>
      <c r="R27" s="118"/>
      <c r="S27" s="118"/>
      <c r="T27" s="118"/>
      <c r="U27" s="118"/>
      <c r="V27" s="118"/>
      <c r="W27" s="118"/>
      <c r="X27" s="118"/>
      <c r="Y27" s="118"/>
      <c r="Z27" s="118"/>
      <c r="AA27" s="118"/>
      <c r="AB27" s="106"/>
      <c r="AC27" s="106"/>
    </row>
    <row r="28" spans="2:29" ht="18.75" x14ac:dyDescent="0.4">
      <c r="B28" s="83" t="s">
        <v>53</v>
      </c>
      <c r="C28" s="109"/>
      <c r="D28" s="109"/>
      <c r="E28" s="109"/>
      <c r="F28" s="109"/>
      <c r="G28" s="109"/>
      <c r="H28" s="119"/>
      <c r="I28" s="120"/>
      <c r="J28" s="118"/>
      <c r="K28" s="118"/>
      <c r="L28" s="118"/>
      <c r="M28" s="118"/>
      <c r="N28" s="118"/>
      <c r="O28" s="118"/>
      <c r="P28" s="118"/>
      <c r="Q28" s="118"/>
      <c r="R28" s="118"/>
      <c r="S28" s="118"/>
      <c r="T28" s="118"/>
      <c r="U28" s="118"/>
      <c r="V28" s="118"/>
      <c r="W28" s="118"/>
      <c r="X28" s="118"/>
      <c r="Y28" s="118"/>
      <c r="Z28" s="118"/>
      <c r="AA28" s="118"/>
      <c r="AB28" s="106"/>
      <c r="AC28" s="106"/>
    </row>
    <row r="29" spans="2:29" x14ac:dyDescent="0.3">
      <c r="B29" s="109" t="s">
        <v>16</v>
      </c>
      <c r="C29" s="109"/>
      <c r="D29" s="109"/>
      <c r="E29" s="109"/>
      <c r="F29" s="109"/>
      <c r="G29" s="109"/>
      <c r="H29" s="127">
        <f>SUMIFS(H:H,B:B,"Nettorechnungsbetrag (" &amp;B28 &amp; ")")</f>
        <v>0</v>
      </c>
      <c r="I29" s="128" t="s">
        <v>12</v>
      </c>
      <c r="J29" s="118"/>
      <c r="K29" s="118"/>
      <c r="L29" s="118"/>
      <c r="M29" s="118"/>
      <c r="N29" s="118"/>
      <c r="O29" s="118"/>
      <c r="P29" s="118"/>
      <c r="Q29" s="118"/>
      <c r="R29" s="118"/>
      <c r="S29" s="118"/>
      <c r="T29" s="118"/>
      <c r="U29" s="118"/>
      <c r="V29" s="118"/>
      <c r="W29" s="118"/>
      <c r="X29" s="118"/>
      <c r="Y29" s="118"/>
      <c r="Z29" s="118"/>
      <c r="AA29" s="118"/>
      <c r="AB29" s="106"/>
      <c r="AC29" s="106"/>
    </row>
    <row r="30" spans="2:29" x14ac:dyDescent="0.3">
      <c r="B30" s="109" t="str">
        <f>B28&amp;"verbrauch aller Zählpunkte in " &amp; VLOOKUP(B28,tbl_Energieart[],2,0) &amp; " im Gesamtjahr"</f>
        <v>Wärme/Kälteverbrauch aller Zählpunkte in kWh im Gesamtjahr</v>
      </c>
      <c r="C30" s="109"/>
      <c r="D30" s="109"/>
      <c r="E30" s="109"/>
      <c r="F30" s="109"/>
      <c r="G30" s="109"/>
      <c r="H30" s="127">
        <f>SUMIFS(H:H,B:B,B28 &amp; "verbrauch in kWh*")</f>
        <v>0</v>
      </c>
      <c r="I30" s="128" t="s">
        <v>13</v>
      </c>
      <c r="J30" s="118"/>
      <c r="K30" s="118"/>
      <c r="L30" s="118"/>
      <c r="M30" s="118"/>
      <c r="N30" s="118"/>
      <c r="O30" s="118"/>
      <c r="P30" s="118"/>
      <c r="Q30" s="118"/>
      <c r="R30" s="118"/>
      <c r="S30" s="118"/>
      <c r="T30" s="118"/>
      <c r="U30" s="118"/>
      <c r="V30" s="118"/>
      <c r="W30" s="118"/>
      <c r="X30" s="118"/>
      <c r="Y30" s="118"/>
      <c r="Z30" s="118"/>
      <c r="AA30" s="118"/>
      <c r="AB30" s="106"/>
      <c r="AC30" s="106"/>
    </row>
    <row r="31" spans="2:29" x14ac:dyDescent="0.3">
      <c r="B31" s="109" t="s">
        <v>17</v>
      </c>
      <c r="C31" s="109"/>
      <c r="D31" s="109"/>
      <c r="E31" s="109"/>
      <c r="F31" s="109"/>
      <c r="G31" s="109"/>
      <c r="H31" s="129">
        <f>IFERROR(ROUND(H29/H30,4),0)</f>
        <v>0</v>
      </c>
      <c r="I31" s="128" t="s">
        <v>12</v>
      </c>
      <c r="J31" s="131" t="s">
        <v>202</v>
      </c>
      <c r="K31" s="132" t="s">
        <v>206</v>
      </c>
      <c r="L31" s="118"/>
      <c r="M31" s="118"/>
      <c r="N31" s="118"/>
      <c r="O31" s="118"/>
      <c r="P31" s="118"/>
      <c r="Q31" s="118"/>
      <c r="R31" s="118"/>
      <c r="S31" s="118"/>
      <c r="T31" s="118"/>
      <c r="U31" s="118"/>
      <c r="V31" s="118"/>
      <c r="W31" s="118"/>
      <c r="X31" s="118"/>
      <c r="Y31" s="118"/>
      <c r="Z31" s="118"/>
      <c r="AA31" s="118" t="str">
        <f>IF(H31&gt;=1,"JA","NEIN")</f>
        <v>NEIN</v>
      </c>
      <c r="AB31" s="106"/>
      <c r="AC31" s="106"/>
    </row>
    <row r="32" spans="2:29" x14ac:dyDescent="0.3">
      <c r="B32" s="109"/>
      <c r="C32" s="109"/>
      <c r="D32" s="109"/>
      <c r="E32" s="109"/>
      <c r="F32" s="109"/>
      <c r="G32" s="109"/>
      <c r="H32" s="117"/>
      <c r="I32" s="117"/>
      <c r="J32" s="130"/>
      <c r="K32" s="118"/>
      <c r="L32" s="118"/>
      <c r="M32" s="118"/>
      <c r="N32" s="118"/>
      <c r="O32" s="118"/>
      <c r="P32" s="118"/>
      <c r="Q32" s="118"/>
      <c r="R32" s="118"/>
      <c r="S32" s="118"/>
      <c r="T32" s="118"/>
      <c r="U32" s="118"/>
      <c r="V32" s="118"/>
      <c r="W32" s="118"/>
      <c r="X32" s="118"/>
      <c r="Y32" s="118"/>
      <c r="Z32" s="118"/>
      <c r="AA32" s="118"/>
      <c r="AB32" s="106"/>
      <c r="AC32" s="106"/>
    </row>
    <row r="33" spans="2:30" s="25" customFormat="1" ht="15.75" thickBot="1" x14ac:dyDescent="0.3">
      <c r="B33" s="121"/>
      <c r="C33" s="121"/>
      <c r="D33" s="121"/>
      <c r="E33" s="121"/>
      <c r="F33" s="121"/>
      <c r="G33" s="122"/>
      <c r="H33" s="121"/>
      <c r="I33" s="121"/>
      <c r="J33" s="121"/>
      <c r="K33" s="121"/>
      <c r="L33" s="121"/>
      <c r="M33" s="121"/>
      <c r="N33" s="121"/>
      <c r="O33" s="121"/>
      <c r="P33" s="121"/>
      <c r="Q33" s="121"/>
      <c r="R33" s="121"/>
      <c r="S33" s="121"/>
      <c r="T33" s="121"/>
      <c r="U33" s="121"/>
      <c r="V33" s="121"/>
      <c r="W33" s="121"/>
      <c r="X33" s="121"/>
      <c r="Y33" s="121"/>
      <c r="Z33" s="121"/>
      <c r="AA33" s="121"/>
      <c r="AB33" s="95"/>
      <c r="AC33" s="95"/>
    </row>
    <row r="34" spans="2:30" s="25" customFormat="1" ht="15" x14ac:dyDescent="0.25">
      <c r="B34" s="99"/>
      <c r="C34" s="99"/>
      <c r="D34" s="99"/>
      <c r="E34" s="99"/>
      <c r="F34" s="99"/>
      <c r="G34" s="99"/>
      <c r="H34" s="99"/>
      <c r="I34" s="99"/>
      <c r="J34" s="99"/>
      <c r="K34" s="99"/>
      <c r="L34" s="99"/>
      <c r="M34" s="99"/>
      <c r="N34" s="99"/>
      <c r="O34" s="99"/>
      <c r="P34" s="99"/>
      <c r="Q34" s="99"/>
      <c r="R34" s="99"/>
      <c r="S34" s="99"/>
      <c r="T34" s="99"/>
      <c r="U34" s="99"/>
      <c r="V34" s="99"/>
      <c r="W34" s="99"/>
      <c r="X34" s="99"/>
      <c r="Y34" s="99"/>
      <c r="Z34" s="99"/>
      <c r="AA34" s="99"/>
      <c r="AB34" s="123"/>
      <c r="AC34" s="95"/>
    </row>
    <row r="35" spans="2:30" ht="19.5" thickBot="1" x14ac:dyDescent="0.45">
      <c r="B35" s="83" t="s">
        <v>6</v>
      </c>
      <c r="C35" s="109"/>
      <c r="D35" s="109"/>
      <c r="E35" s="109"/>
      <c r="F35" s="109"/>
      <c r="G35" s="109"/>
      <c r="H35" s="109"/>
      <c r="I35" s="109"/>
      <c r="J35" s="109"/>
      <c r="K35" s="109"/>
      <c r="L35" s="109"/>
      <c r="M35" s="109"/>
      <c r="N35" s="109"/>
      <c r="O35" s="109"/>
      <c r="P35" s="109"/>
      <c r="Q35" s="109"/>
      <c r="R35" s="109"/>
      <c r="S35" s="109"/>
      <c r="T35" s="109"/>
      <c r="U35" s="109"/>
      <c r="V35" s="109"/>
      <c r="W35" s="109"/>
      <c r="X35" s="118"/>
      <c r="Y35" s="124"/>
      <c r="Z35" s="118"/>
      <c r="AA35" s="118"/>
      <c r="AB35" s="123"/>
      <c r="AC35" s="125"/>
      <c r="AD35" s="34"/>
    </row>
    <row r="36" spans="2:30" ht="17.25" thickBot="1" x14ac:dyDescent="0.35">
      <c r="B36" s="109" t="s">
        <v>201</v>
      </c>
      <c r="C36" s="109"/>
      <c r="D36" s="109"/>
      <c r="E36" s="109"/>
      <c r="F36" s="109"/>
      <c r="G36" s="109"/>
      <c r="H36" s="262"/>
      <c r="I36" s="109"/>
      <c r="J36" s="33" t="s">
        <v>4</v>
      </c>
      <c r="K36" s="109" t="s">
        <v>7</v>
      </c>
      <c r="L36" s="109"/>
      <c r="M36" s="109"/>
      <c r="N36" s="109"/>
      <c r="O36" s="109"/>
      <c r="P36" s="109"/>
      <c r="Q36" s="109"/>
      <c r="R36" s="109"/>
      <c r="S36" s="109"/>
      <c r="T36" s="109"/>
      <c r="U36" s="109"/>
      <c r="V36" s="109"/>
      <c r="W36" s="118" t="str">
        <f>CONCATENATE(H36,"_",H38)</f>
        <v>_</v>
      </c>
      <c r="X36" s="118">
        <f>H37</f>
        <v>0</v>
      </c>
      <c r="Y36" s="118">
        <f>H38</f>
        <v>0</v>
      </c>
      <c r="Z36" s="118">
        <f>H39</f>
        <v>0</v>
      </c>
      <c r="AA36" s="118">
        <f>H40</f>
        <v>0</v>
      </c>
      <c r="AB36" s="123"/>
      <c r="AC36" s="125"/>
      <c r="AD36" s="34"/>
    </row>
    <row r="37" spans="2:30" ht="17.25" thickBot="1" x14ac:dyDescent="0.35">
      <c r="B37" s="109" t="s">
        <v>8</v>
      </c>
      <c r="C37" s="109"/>
      <c r="D37" s="109"/>
      <c r="E37" s="109"/>
      <c r="F37" s="109"/>
      <c r="G37" s="109"/>
      <c r="H37" s="262"/>
      <c r="I37" s="126"/>
      <c r="J37" s="33" t="s">
        <v>4</v>
      </c>
      <c r="K37" s="109" t="str">
        <f>"Ist ein Lastprofilzähler (Messgerät für Großkunden) oder ein genormtes intelligentes Messgerät mit monatlicher Abrechnung verfügbar, erfolgt die Zuschussberechnung gem. " &amp; par_SEW_Richtlinie &amp; "."</f>
        <v>Ist ein Lastprofilzähler (Messgerät für Großkunden) oder ein genormtes intelligentes Messgerät mit monatlicher Abrechnung verfügbar, erfolgt die Zuschussberechnung gem. Pkt. 9.1 bzw. Pkt. 9.4 der Richtlinie.</v>
      </c>
      <c r="L37" s="109"/>
      <c r="M37" s="109"/>
      <c r="N37" s="109"/>
      <c r="O37" s="109"/>
      <c r="P37" s="109"/>
      <c r="Q37" s="109"/>
      <c r="R37" s="109"/>
      <c r="S37" s="109"/>
      <c r="T37" s="109"/>
      <c r="U37" s="109"/>
      <c r="V37" s="109"/>
      <c r="W37" s="109"/>
      <c r="X37" s="118"/>
      <c r="Y37" s="118"/>
      <c r="Z37" s="118"/>
      <c r="AA37" s="118"/>
      <c r="AB37" s="123"/>
      <c r="AC37" s="125"/>
      <c r="AD37" s="34"/>
    </row>
    <row r="38" spans="2:30" ht="17.25" thickBot="1" x14ac:dyDescent="0.35">
      <c r="B38" s="109" t="s">
        <v>10</v>
      </c>
      <c r="C38" s="109"/>
      <c r="D38" s="109"/>
      <c r="E38" s="109"/>
      <c r="F38" s="109"/>
      <c r="G38" s="109"/>
      <c r="H38" s="263"/>
      <c r="I38" s="109"/>
      <c r="J38" s="33" t="s">
        <v>4</v>
      </c>
      <c r="K38" s="109" t="s">
        <v>11</v>
      </c>
      <c r="L38" s="109"/>
      <c r="M38" s="109"/>
      <c r="N38" s="109"/>
      <c r="O38" s="109"/>
      <c r="P38" s="109"/>
      <c r="Q38" s="109"/>
      <c r="R38" s="109"/>
      <c r="S38" s="109"/>
      <c r="T38" s="109"/>
      <c r="U38" s="109"/>
      <c r="V38" s="109"/>
      <c r="W38" s="109"/>
      <c r="X38" s="118"/>
      <c r="Y38" s="118"/>
      <c r="Z38" s="118"/>
      <c r="AA38" s="118"/>
      <c r="AB38" s="123"/>
      <c r="AC38" s="125"/>
      <c r="AD38" s="34"/>
    </row>
    <row r="39" spans="2:30" ht="17.25" thickBot="1" x14ac:dyDescent="0.35">
      <c r="B39" s="109" t="str">
        <f>IF(ISBLANK(H38),"Bitte Energieart auswählen!","Nettorechnungsbetrag ("&amp;H38&amp;")")</f>
        <v>Bitte Energieart auswählen!</v>
      </c>
      <c r="C39" s="109"/>
      <c r="D39" s="109"/>
      <c r="E39" s="109"/>
      <c r="F39" s="109"/>
      <c r="G39" s="109"/>
      <c r="H39" s="264"/>
      <c r="I39" s="117" t="s">
        <v>12</v>
      </c>
      <c r="J39" s="33" t="s">
        <v>4</v>
      </c>
      <c r="K39" s="109" t="str">
        <f>IF(ISBLANK(H38),"Bitte Energieart auswählen!",H38 &amp; "kosten exkl. Steuern, Abgaben, Netzentgelte, etc.")</f>
        <v>Bitte Energieart auswählen!</v>
      </c>
      <c r="L39" s="109"/>
      <c r="M39" s="109"/>
      <c r="N39" s="109"/>
      <c r="O39" s="109"/>
      <c r="P39" s="109"/>
      <c r="Q39" s="109"/>
      <c r="R39" s="109"/>
      <c r="S39" s="109"/>
      <c r="T39" s="109"/>
      <c r="U39" s="109"/>
      <c r="V39" s="109"/>
      <c r="W39" s="109"/>
      <c r="X39" s="118"/>
      <c r="Y39" s="118"/>
      <c r="Z39" s="118"/>
      <c r="AA39" s="118"/>
      <c r="AB39" s="123"/>
      <c r="AC39" s="125"/>
      <c r="AD39" s="34"/>
    </row>
    <row r="40" spans="2:30" ht="17.25" thickBot="1" x14ac:dyDescent="0.35">
      <c r="B40" s="109" t="str">
        <f>IF(ISBLANK(H38),"Bitte Energieart auswählen!",IF(H37="Nein",H38&amp;"verbrauch in kWh gem. letzter Jahresabrechnung",H38&amp;"verbrauch in kWh im Kalenderjahr "&amp;par_Jahr1))</f>
        <v>Bitte Energieart auswählen!</v>
      </c>
      <c r="C40" s="109"/>
      <c r="D40" s="109"/>
      <c r="E40" s="109"/>
      <c r="F40" s="109"/>
      <c r="G40" s="109"/>
      <c r="H40" s="265"/>
      <c r="I40" s="117" t="s">
        <v>13</v>
      </c>
      <c r="J40" s="33" t="s">
        <v>4</v>
      </c>
      <c r="K40" s="109" t="str">
        <f>IF(H37="Nein","Den Verbrauch entnehmen Sie bitte der letzten Jahresabrechnung, deren Abrechnungszeitraum zwischen " &amp; TEXT(EOMONTH(par_VZ_SEW_Start,0),"t. MMMM jjjj") &amp; " und " &amp;   TEXT(EOMONTH(par_VZ_SEW_Ende+1,0),"t. MMMM jjjj") &amp; " endet.","Bitte geben Sie den Verbrauch für den gesamten Zeitraum von " &amp; TEXT(par_VZ_SEW_Start,"t. MMMM jjjj") &amp; " bis " &amp;   TEXT(par_VZ_SEW_Ende,"t. MMMM jjjj") &amp; " an.")</f>
        <v>Bitte geben Sie den Verbrauch für den gesamten Zeitraum von 1. Jänner 2021 bis 31. Dezember 2021 an.</v>
      </c>
      <c r="L40" s="109"/>
      <c r="M40" s="109"/>
      <c r="N40" s="109"/>
      <c r="O40" s="109"/>
      <c r="P40" s="109"/>
      <c r="Q40" s="109"/>
      <c r="R40" s="109"/>
      <c r="S40" s="109"/>
      <c r="T40" s="109"/>
      <c r="U40" s="109"/>
      <c r="V40" s="109"/>
      <c r="W40" s="109"/>
      <c r="X40" s="118"/>
      <c r="Y40" s="118"/>
      <c r="Z40" s="118"/>
      <c r="AA40" s="118"/>
      <c r="AB40" s="123"/>
      <c r="AC40" s="125"/>
      <c r="AD40" s="34"/>
    </row>
    <row r="41" spans="2:30" s="25" customFormat="1" ht="15" x14ac:dyDescent="0.25">
      <c r="B41" s="99"/>
      <c r="C41" s="99"/>
      <c r="D41" s="99"/>
      <c r="E41" s="99"/>
      <c r="F41" s="99"/>
      <c r="G41" s="99"/>
      <c r="H41" s="99"/>
      <c r="I41" s="99"/>
      <c r="J41" s="99"/>
      <c r="K41" s="99"/>
      <c r="L41" s="99"/>
      <c r="M41" s="99"/>
      <c r="N41" s="99"/>
      <c r="O41" s="99"/>
      <c r="P41" s="99"/>
      <c r="Q41" s="99"/>
      <c r="R41" s="99"/>
      <c r="S41" s="99"/>
      <c r="T41" s="99"/>
      <c r="U41" s="99"/>
      <c r="V41" s="99"/>
      <c r="W41" s="99"/>
      <c r="X41" s="118"/>
      <c r="Y41" s="118"/>
      <c r="Z41" s="118"/>
      <c r="AA41" s="118"/>
      <c r="AB41" s="123"/>
      <c r="AC41" s="95"/>
    </row>
    <row r="42" spans="2:30" ht="19.5" thickBot="1" x14ac:dyDescent="0.45">
      <c r="B42" s="83" t="s">
        <v>6</v>
      </c>
      <c r="C42" s="109"/>
      <c r="D42" s="109"/>
      <c r="E42" s="109"/>
      <c r="F42" s="109"/>
      <c r="G42" s="109"/>
      <c r="H42" s="109"/>
      <c r="I42" s="109"/>
      <c r="J42" s="109"/>
      <c r="K42" s="109"/>
      <c r="L42" s="109"/>
      <c r="M42" s="109"/>
      <c r="N42" s="109"/>
      <c r="O42" s="109"/>
      <c r="P42" s="109"/>
      <c r="Q42" s="109"/>
      <c r="R42" s="109"/>
      <c r="S42" s="109"/>
      <c r="T42" s="109"/>
      <c r="U42" s="109"/>
      <c r="V42" s="109"/>
      <c r="W42" s="109"/>
      <c r="X42" s="118"/>
      <c r="Y42" s="124"/>
      <c r="Z42" s="118"/>
      <c r="AA42" s="118"/>
      <c r="AB42" s="123"/>
      <c r="AC42" s="125"/>
      <c r="AD42" s="34"/>
    </row>
    <row r="43" spans="2:30" ht="17.25" thickBot="1" x14ac:dyDescent="0.35">
      <c r="B43" s="109" t="s">
        <v>201</v>
      </c>
      <c r="C43" s="109"/>
      <c r="D43" s="109"/>
      <c r="E43" s="109"/>
      <c r="F43" s="109"/>
      <c r="G43" s="109"/>
      <c r="H43" s="262"/>
      <c r="I43" s="109"/>
      <c r="J43" s="33" t="s">
        <v>4</v>
      </c>
      <c r="K43" s="109" t="s">
        <v>7</v>
      </c>
      <c r="L43" s="109"/>
      <c r="M43" s="109"/>
      <c r="N43" s="109"/>
      <c r="O43" s="109"/>
      <c r="P43" s="109"/>
      <c r="Q43" s="109"/>
      <c r="R43" s="109"/>
      <c r="S43" s="109"/>
      <c r="T43" s="109"/>
      <c r="U43" s="109"/>
      <c r="V43" s="109"/>
      <c r="W43" s="118" t="str">
        <f>CONCATENATE(H43,"_",H45)</f>
        <v>_</v>
      </c>
      <c r="X43" s="118">
        <f>H44</f>
        <v>0</v>
      </c>
      <c r="Y43" s="118">
        <f>H45</f>
        <v>0</v>
      </c>
      <c r="Z43" s="118">
        <f>H46</f>
        <v>0</v>
      </c>
      <c r="AA43" s="118">
        <f>H47</f>
        <v>0</v>
      </c>
      <c r="AB43" s="123"/>
      <c r="AC43" s="125"/>
      <c r="AD43" s="34"/>
    </row>
    <row r="44" spans="2:30" ht="17.25" thickBot="1" x14ac:dyDescent="0.35">
      <c r="B44" s="109" t="s">
        <v>8</v>
      </c>
      <c r="C44" s="109"/>
      <c r="D44" s="109"/>
      <c r="E44" s="109"/>
      <c r="F44" s="109"/>
      <c r="G44" s="109"/>
      <c r="H44" s="262"/>
      <c r="I44" s="126"/>
      <c r="J44" s="33" t="s">
        <v>4</v>
      </c>
      <c r="K44" s="109" t="str">
        <f>"Ist ein Lastprofilzähler (Messgerät für Großkunden) oder ein genormtes intelligentes Messgerät mit monatlicher Abrechnung verfügbar, erfolgt die Zuschussberechnung gem. " &amp; par_SEW_Richtlinie &amp; "."</f>
        <v>Ist ein Lastprofilzähler (Messgerät für Großkunden) oder ein genormtes intelligentes Messgerät mit monatlicher Abrechnung verfügbar, erfolgt die Zuschussberechnung gem. Pkt. 9.1 bzw. Pkt. 9.4 der Richtlinie.</v>
      </c>
      <c r="L44" s="109"/>
      <c r="M44" s="109"/>
      <c r="N44" s="109"/>
      <c r="O44" s="109"/>
      <c r="P44" s="109"/>
      <c r="Q44" s="109"/>
      <c r="R44" s="109"/>
      <c r="S44" s="109"/>
      <c r="T44" s="109"/>
      <c r="U44" s="109"/>
      <c r="V44" s="109"/>
      <c r="W44" s="109"/>
      <c r="X44" s="118"/>
      <c r="Y44" s="118"/>
      <c r="Z44" s="118"/>
      <c r="AA44" s="118"/>
      <c r="AB44" s="123"/>
      <c r="AC44" s="125"/>
      <c r="AD44" s="34"/>
    </row>
    <row r="45" spans="2:30" ht="17.25" thickBot="1" x14ac:dyDescent="0.35">
      <c r="B45" s="109" t="s">
        <v>10</v>
      </c>
      <c r="C45" s="109"/>
      <c r="D45" s="109"/>
      <c r="E45" s="109"/>
      <c r="F45" s="109"/>
      <c r="G45" s="109"/>
      <c r="H45" s="263"/>
      <c r="I45" s="109"/>
      <c r="J45" s="33" t="s">
        <v>4</v>
      </c>
      <c r="K45" s="109" t="s">
        <v>11</v>
      </c>
      <c r="L45" s="109"/>
      <c r="M45" s="109"/>
      <c r="N45" s="109"/>
      <c r="O45" s="109"/>
      <c r="P45" s="109"/>
      <c r="Q45" s="109"/>
      <c r="R45" s="109"/>
      <c r="S45" s="109"/>
      <c r="T45" s="109"/>
      <c r="U45" s="109"/>
      <c r="V45" s="109"/>
      <c r="W45" s="109"/>
      <c r="X45" s="118"/>
      <c r="Y45" s="118"/>
      <c r="Z45" s="118"/>
      <c r="AA45" s="118"/>
      <c r="AB45" s="123"/>
      <c r="AC45" s="125"/>
      <c r="AD45" s="34"/>
    </row>
    <row r="46" spans="2:30" ht="17.25" thickBot="1" x14ac:dyDescent="0.35">
      <c r="B46" s="109" t="str">
        <f>IF(ISBLANK(H45),"Bitte Energieart auswählen!","Nettorechnungsbetrag ("&amp;H45&amp;")")</f>
        <v>Bitte Energieart auswählen!</v>
      </c>
      <c r="C46" s="109"/>
      <c r="D46" s="109"/>
      <c r="E46" s="109"/>
      <c r="F46" s="109"/>
      <c r="G46" s="109"/>
      <c r="H46" s="264"/>
      <c r="I46" s="117" t="s">
        <v>12</v>
      </c>
      <c r="J46" s="33" t="s">
        <v>4</v>
      </c>
      <c r="K46" s="109" t="str">
        <f>IF(ISBLANK(H45),"Bitte Energieart auswählen!",H45 &amp; "kosten exkl. Steuern, Abgaben, Netzentgelte, etc.")</f>
        <v>Bitte Energieart auswählen!</v>
      </c>
      <c r="L46" s="109"/>
      <c r="M46" s="109"/>
      <c r="N46" s="109"/>
      <c r="O46" s="109"/>
      <c r="P46" s="109"/>
      <c r="Q46" s="109"/>
      <c r="R46" s="109"/>
      <c r="S46" s="109"/>
      <c r="T46" s="109"/>
      <c r="U46" s="109"/>
      <c r="V46" s="109"/>
      <c r="W46" s="109"/>
      <c r="X46" s="118"/>
      <c r="Y46" s="118"/>
      <c r="Z46" s="118"/>
      <c r="AA46" s="118"/>
      <c r="AB46" s="123"/>
      <c r="AC46" s="125"/>
      <c r="AD46" s="34"/>
    </row>
    <row r="47" spans="2:30" ht="17.25" thickBot="1" x14ac:dyDescent="0.35">
      <c r="B47" s="109" t="str">
        <f>IF(ISBLANK(H45),"Bitte Energieart auswählen!",IF(H44="Nein",H45&amp;"verbrauch in kWh gem. letzter Jahresabrechnung",H45&amp;"verbrauch in kWh im Kalenderjahr "&amp;par_Jahr1))</f>
        <v>Bitte Energieart auswählen!</v>
      </c>
      <c r="C47" s="109"/>
      <c r="D47" s="109"/>
      <c r="E47" s="109"/>
      <c r="F47" s="109"/>
      <c r="G47" s="109"/>
      <c r="H47" s="265"/>
      <c r="I47" s="117" t="s">
        <v>13</v>
      </c>
      <c r="J47" s="33" t="s">
        <v>4</v>
      </c>
      <c r="K47" s="109" t="str">
        <f>IF(H44="Nein","Den Verbrauch entnehmen Sie bitte der letzten Jahresabrechnung, deren Abrechnungszeitraum zwischen " &amp; TEXT(EOMONTH(par_VZ_SEW_Start,0),"t. MMMM jjjj") &amp; " und " &amp;   TEXT(EOMONTH(par_VZ_SEW_Ende+1,0),"t. MMMM jjjj") &amp; " endet.","Bitte geben Sie den Verbrauch für den gesamten Zeitraum von " &amp; TEXT(par_VZ_SEW_Start,"t. MMMM jjjj") &amp; " bis " &amp;   TEXT(par_VZ_SEW_Ende,"t. MMMM jjjj") &amp; " an.")</f>
        <v>Bitte geben Sie den Verbrauch für den gesamten Zeitraum von 1. Jänner 2021 bis 31. Dezember 2021 an.</v>
      </c>
      <c r="L47" s="109"/>
      <c r="M47" s="109"/>
      <c r="N47" s="109"/>
      <c r="O47" s="109"/>
      <c r="P47" s="109"/>
      <c r="Q47" s="109"/>
      <c r="R47" s="109"/>
      <c r="S47" s="109"/>
      <c r="T47" s="109"/>
      <c r="U47" s="109"/>
      <c r="V47" s="109"/>
      <c r="W47" s="109"/>
      <c r="X47" s="118"/>
      <c r="Y47" s="118"/>
      <c r="Z47" s="118"/>
      <c r="AA47" s="118"/>
      <c r="AB47" s="123"/>
      <c r="AC47" s="125"/>
      <c r="AD47" s="34"/>
    </row>
    <row r="48" spans="2:30" s="25" customFormat="1" ht="15" x14ac:dyDescent="0.25">
      <c r="B48" s="99"/>
      <c r="C48" s="99"/>
      <c r="D48" s="99"/>
      <c r="E48" s="99"/>
      <c r="F48" s="99"/>
      <c r="G48" s="99"/>
      <c r="H48" s="99"/>
      <c r="I48" s="99"/>
      <c r="J48" s="99"/>
      <c r="K48" s="99"/>
      <c r="L48" s="99"/>
      <c r="M48" s="99"/>
      <c r="N48" s="99"/>
      <c r="O48" s="99"/>
      <c r="P48" s="99"/>
      <c r="Q48" s="99"/>
      <c r="R48" s="99"/>
      <c r="S48" s="99"/>
      <c r="T48" s="99"/>
      <c r="U48" s="99"/>
      <c r="V48" s="99"/>
      <c r="W48" s="99"/>
      <c r="X48" s="118"/>
      <c r="Y48" s="118"/>
      <c r="Z48" s="118"/>
      <c r="AA48" s="118"/>
      <c r="AB48" s="123"/>
      <c r="AC48" s="95"/>
    </row>
    <row r="49" spans="2:30" ht="19.5" thickBot="1" x14ac:dyDescent="0.45">
      <c r="B49" s="83" t="s">
        <v>6</v>
      </c>
      <c r="C49" s="109"/>
      <c r="D49" s="109"/>
      <c r="E49" s="109"/>
      <c r="F49" s="109"/>
      <c r="G49" s="109"/>
      <c r="H49" s="109"/>
      <c r="I49" s="109"/>
      <c r="J49" s="109"/>
      <c r="K49" s="109"/>
      <c r="L49" s="109"/>
      <c r="M49" s="109"/>
      <c r="N49" s="109"/>
      <c r="O49" s="109"/>
      <c r="P49" s="109"/>
      <c r="Q49" s="109"/>
      <c r="R49" s="109"/>
      <c r="S49" s="109"/>
      <c r="T49" s="109"/>
      <c r="U49" s="109"/>
      <c r="V49" s="109"/>
      <c r="W49" s="109"/>
      <c r="X49" s="118"/>
      <c r="Y49" s="124"/>
      <c r="Z49" s="118"/>
      <c r="AA49" s="118"/>
      <c r="AB49" s="123"/>
      <c r="AC49" s="125"/>
      <c r="AD49" s="34"/>
    </row>
    <row r="50" spans="2:30" ht="17.25" thickBot="1" x14ac:dyDescent="0.35">
      <c r="B50" s="109" t="s">
        <v>201</v>
      </c>
      <c r="C50" s="109"/>
      <c r="D50" s="109"/>
      <c r="E50" s="109"/>
      <c r="F50" s="109"/>
      <c r="G50" s="109"/>
      <c r="H50" s="262"/>
      <c r="I50" s="109"/>
      <c r="J50" s="33" t="s">
        <v>4</v>
      </c>
      <c r="K50" s="109" t="s">
        <v>7</v>
      </c>
      <c r="L50" s="109"/>
      <c r="M50" s="109"/>
      <c r="N50" s="109"/>
      <c r="O50" s="109"/>
      <c r="P50" s="109"/>
      <c r="Q50" s="109"/>
      <c r="R50" s="109"/>
      <c r="S50" s="109"/>
      <c r="T50" s="109"/>
      <c r="U50" s="109"/>
      <c r="V50" s="109"/>
      <c r="W50" s="118" t="str">
        <f>CONCATENATE(H50,"_",H52)</f>
        <v>_</v>
      </c>
      <c r="X50" s="118">
        <f>H51</f>
        <v>0</v>
      </c>
      <c r="Y50" s="118">
        <f>H52</f>
        <v>0</v>
      </c>
      <c r="Z50" s="118">
        <f>H53</f>
        <v>0</v>
      </c>
      <c r="AA50" s="118">
        <f>H54</f>
        <v>0</v>
      </c>
      <c r="AB50" s="123"/>
      <c r="AC50" s="125"/>
      <c r="AD50" s="34"/>
    </row>
    <row r="51" spans="2:30" ht="17.25" thickBot="1" x14ac:dyDescent="0.35">
      <c r="B51" s="109" t="s">
        <v>8</v>
      </c>
      <c r="C51" s="109"/>
      <c r="D51" s="109"/>
      <c r="E51" s="109"/>
      <c r="F51" s="109"/>
      <c r="G51" s="109"/>
      <c r="H51" s="262"/>
      <c r="I51" s="126"/>
      <c r="J51" s="33" t="s">
        <v>4</v>
      </c>
      <c r="K51" s="109" t="str">
        <f>"Ist ein Lastprofilzähler (Messgerät für Großkunden) oder ein genormtes intelligentes Messgerät mit monatlicher Abrechnung verfügbar, erfolgt die Zuschussberechnung gem. " &amp; par_SEW_Richtlinie &amp; "."</f>
        <v>Ist ein Lastprofilzähler (Messgerät für Großkunden) oder ein genormtes intelligentes Messgerät mit monatlicher Abrechnung verfügbar, erfolgt die Zuschussberechnung gem. Pkt. 9.1 bzw. Pkt. 9.4 der Richtlinie.</v>
      </c>
      <c r="L51" s="109"/>
      <c r="M51" s="109"/>
      <c r="N51" s="109"/>
      <c r="O51" s="109"/>
      <c r="P51" s="109"/>
      <c r="Q51" s="109"/>
      <c r="R51" s="109"/>
      <c r="S51" s="109"/>
      <c r="T51" s="109"/>
      <c r="U51" s="109"/>
      <c r="V51" s="109"/>
      <c r="W51" s="109"/>
      <c r="X51" s="118"/>
      <c r="Y51" s="118"/>
      <c r="Z51" s="118"/>
      <c r="AA51" s="118"/>
      <c r="AB51" s="123"/>
      <c r="AC51" s="125"/>
      <c r="AD51" s="34"/>
    </row>
    <row r="52" spans="2:30" ht="17.25" thickBot="1" x14ac:dyDescent="0.35">
      <c r="B52" s="109" t="s">
        <v>10</v>
      </c>
      <c r="C52" s="109"/>
      <c r="D52" s="109"/>
      <c r="E52" s="109"/>
      <c r="F52" s="109"/>
      <c r="G52" s="109"/>
      <c r="H52" s="263"/>
      <c r="I52" s="109"/>
      <c r="J52" s="33" t="s">
        <v>4</v>
      </c>
      <c r="K52" s="109" t="s">
        <v>11</v>
      </c>
      <c r="L52" s="109"/>
      <c r="M52" s="109"/>
      <c r="N52" s="109"/>
      <c r="O52" s="109"/>
      <c r="P52" s="109"/>
      <c r="Q52" s="109"/>
      <c r="R52" s="109"/>
      <c r="S52" s="109"/>
      <c r="T52" s="109"/>
      <c r="U52" s="109"/>
      <c r="V52" s="109"/>
      <c r="W52" s="109"/>
      <c r="X52" s="118"/>
      <c r="Y52" s="118"/>
      <c r="Z52" s="118"/>
      <c r="AA52" s="118"/>
      <c r="AB52" s="123"/>
      <c r="AC52" s="125"/>
      <c r="AD52" s="34"/>
    </row>
    <row r="53" spans="2:30" ht="17.25" thickBot="1" x14ac:dyDescent="0.35">
      <c r="B53" s="109" t="str">
        <f>IF(ISBLANK(H52),"Bitte Energieart auswählen!","Nettorechnungsbetrag ("&amp;H52&amp;")")</f>
        <v>Bitte Energieart auswählen!</v>
      </c>
      <c r="C53" s="109"/>
      <c r="D53" s="109"/>
      <c r="E53" s="109"/>
      <c r="F53" s="109"/>
      <c r="G53" s="109"/>
      <c r="H53" s="264"/>
      <c r="I53" s="117" t="s">
        <v>12</v>
      </c>
      <c r="J53" s="33" t="s">
        <v>4</v>
      </c>
      <c r="K53" s="109" t="str">
        <f>IF(ISBLANK(H52),"Bitte Energieart auswählen!",H52 &amp; "kosten exkl. Steuern, Abgaben, Netzentgelte, etc.")</f>
        <v>Bitte Energieart auswählen!</v>
      </c>
      <c r="L53" s="109"/>
      <c r="M53" s="109"/>
      <c r="N53" s="109"/>
      <c r="O53" s="109"/>
      <c r="P53" s="109"/>
      <c r="Q53" s="109"/>
      <c r="R53" s="109"/>
      <c r="S53" s="109"/>
      <c r="T53" s="109"/>
      <c r="U53" s="109"/>
      <c r="V53" s="109"/>
      <c r="W53" s="109"/>
      <c r="X53" s="118"/>
      <c r="Y53" s="118"/>
      <c r="Z53" s="118"/>
      <c r="AA53" s="118"/>
      <c r="AB53" s="123"/>
      <c r="AC53" s="125"/>
      <c r="AD53" s="34"/>
    </row>
    <row r="54" spans="2:30" ht="17.25" thickBot="1" x14ac:dyDescent="0.35">
      <c r="B54" s="109" t="str">
        <f>IF(ISBLANK(H52),"Bitte Energieart auswählen!",IF(H51="Nein",H52&amp;"verbrauch in kWh gem. letzter Jahresabrechnung",H52&amp;"verbrauch in kWh im Kalenderjahr "&amp;par_Jahr1))</f>
        <v>Bitte Energieart auswählen!</v>
      </c>
      <c r="C54" s="109"/>
      <c r="D54" s="109"/>
      <c r="E54" s="109"/>
      <c r="F54" s="109"/>
      <c r="G54" s="109"/>
      <c r="H54" s="265"/>
      <c r="I54" s="117" t="s">
        <v>13</v>
      </c>
      <c r="J54" s="33" t="s">
        <v>4</v>
      </c>
      <c r="K54" s="109" t="str">
        <f>IF(H51="Nein","Den Verbrauch entnehmen Sie bitte der letzten Jahresabrechnung, deren Abrechnungszeitraum zwischen " &amp; TEXT(EOMONTH(par_VZ_SEW_Start,0),"t. MMMM jjjj") &amp; " und " &amp;   TEXT(EOMONTH(par_VZ_SEW_Ende+1,0),"t. MMMM jjjj") &amp; " endet.","Bitte geben Sie den Verbrauch für den gesamten Zeitraum von " &amp; TEXT(par_VZ_SEW_Start,"t. MMMM jjjj") &amp; " bis " &amp;   TEXT(par_VZ_SEW_Ende,"t. MMMM jjjj") &amp; " an.")</f>
        <v>Bitte geben Sie den Verbrauch für den gesamten Zeitraum von 1. Jänner 2021 bis 31. Dezember 2021 an.</v>
      </c>
      <c r="L54" s="109"/>
      <c r="M54" s="109"/>
      <c r="N54" s="109"/>
      <c r="O54" s="109"/>
      <c r="P54" s="109"/>
      <c r="Q54" s="109"/>
      <c r="R54" s="109"/>
      <c r="S54" s="109"/>
      <c r="T54" s="109"/>
      <c r="U54" s="109"/>
      <c r="V54" s="109"/>
      <c r="W54" s="109"/>
      <c r="X54" s="118"/>
      <c r="Y54" s="118"/>
      <c r="Z54" s="118"/>
      <c r="AA54" s="118"/>
      <c r="AB54" s="123"/>
      <c r="AC54" s="125"/>
      <c r="AD54" s="34"/>
    </row>
    <row r="55" spans="2:30" s="25" customFormat="1" ht="15" x14ac:dyDescent="0.25">
      <c r="B55" s="99"/>
      <c r="C55" s="99"/>
      <c r="D55" s="99"/>
      <c r="E55" s="99"/>
      <c r="F55" s="99"/>
      <c r="G55" s="99"/>
      <c r="H55" s="99"/>
      <c r="I55" s="99"/>
      <c r="J55" s="99"/>
      <c r="K55" s="99"/>
      <c r="L55" s="99"/>
      <c r="M55" s="99"/>
      <c r="N55" s="99"/>
      <c r="O55" s="99"/>
      <c r="P55" s="99"/>
      <c r="Q55" s="99"/>
      <c r="R55" s="99"/>
      <c r="S55" s="99"/>
      <c r="T55" s="99"/>
      <c r="U55" s="99"/>
      <c r="V55" s="99"/>
      <c r="W55" s="99"/>
      <c r="X55" s="118"/>
      <c r="Y55" s="118"/>
      <c r="Z55" s="118"/>
      <c r="AA55" s="118"/>
      <c r="AB55" s="123"/>
      <c r="AC55" s="95"/>
    </row>
    <row r="56" spans="2:30" ht="19.5" thickBot="1" x14ac:dyDescent="0.45">
      <c r="B56" s="83" t="s">
        <v>6</v>
      </c>
      <c r="C56" s="109"/>
      <c r="D56" s="109"/>
      <c r="E56" s="109"/>
      <c r="F56" s="109"/>
      <c r="G56" s="109"/>
      <c r="H56" s="109"/>
      <c r="I56" s="109"/>
      <c r="J56" s="109"/>
      <c r="K56" s="109"/>
      <c r="L56" s="109"/>
      <c r="M56" s="109"/>
      <c r="N56" s="109"/>
      <c r="O56" s="109"/>
      <c r="P56" s="109"/>
      <c r="Q56" s="109"/>
      <c r="R56" s="109"/>
      <c r="S56" s="109"/>
      <c r="T56" s="109"/>
      <c r="U56" s="109"/>
      <c r="V56" s="109"/>
      <c r="W56" s="109"/>
      <c r="X56" s="118"/>
      <c r="Y56" s="124"/>
      <c r="Z56" s="118"/>
      <c r="AA56" s="118"/>
      <c r="AB56" s="123"/>
      <c r="AC56" s="125"/>
      <c r="AD56" s="34"/>
    </row>
    <row r="57" spans="2:30" ht="17.25" thickBot="1" x14ac:dyDescent="0.35">
      <c r="B57" s="109" t="s">
        <v>201</v>
      </c>
      <c r="C57" s="109"/>
      <c r="D57" s="109"/>
      <c r="E57" s="109"/>
      <c r="F57" s="109"/>
      <c r="G57" s="109"/>
      <c r="H57" s="262"/>
      <c r="I57" s="109"/>
      <c r="J57" s="33" t="s">
        <v>4</v>
      </c>
      <c r="K57" s="109" t="s">
        <v>7</v>
      </c>
      <c r="L57" s="109"/>
      <c r="M57" s="109"/>
      <c r="N57" s="109"/>
      <c r="O57" s="109"/>
      <c r="P57" s="109"/>
      <c r="Q57" s="109"/>
      <c r="R57" s="109"/>
      <c r="S57" s="109"/>
      <c r="T57" s="109"/>
      <c r="U57" s="109"/>
      <c r="V57" s="109"/>
      <c r="W57" s="118" t="str">
        <f>CONCATENATE(H57,"_",H59)</f>
        <v>_</v>
      </c>
      <c r="X57" s="118">
        <f>H58</f>
        <v>0</v>
      </c>
      <c r="Y57" s="118">
        <f>H59</f>
        <v>0</v>
      </c>
      <c r="Z57" s="118">
        <f>H60</f>
        <v>0</v>
      </c>
      <c r="AA57" s="118">
        <f>H61</f>
        <v>0</v>
      </c>
      <c r="AB57" s="123"/>
      <c r="AC57" s="125"/>
      <c r="AD57" s="34"/>
    </row>
    <row r="58" spans="2:30" ht="17.25" thickBot="1" x14ac:dyDescent="0.35">
      <c r="B58" s="109" t="s">
        <v>8</v>
      </c>
      <c r="C58" s="109"/>
      <c r="D58" s="109"/>
      <c r="E58" s="109"/>
      <c r="F58" s="109"/>
      <c r="G58" s="109"/>
      <c r="H58" s="262"/>
      <c r="I58" s="126"/>
      <c r="J58" s="33" t="s">
        <v>4</v>
      </c>
      <c r="K58" s="109" t="str">
        <f>"Ist ein Lastprofilzähler (Messgerät für Großkunden) oder ein genormtes intelligentes Messgerät mit monatlicher Abrechnung verfügbar, erfolgt die Zuschussberechnung gem. " &amp; par_SEW_Richtlinie &amp; "."</f>
        <v>Ist ein Lastprofilzähler (Messgerät für Großkunden) oder ein genormtes intelligentes Messgerät mit monatlicher Abrechnung verfügbar, erfolgt die Zuschussberechnung gem. Pkt. 9.1 bzw. Pkt. 9.4 der Richtlinie.</v>
      </c>
      <c r="L58" s="109"/>
      <c r="M58" s="109"/>
      <c r="N58" s="109"/>
      <c r="O58" s="109"/>
      <c r="P58" s="109"/>
      <c r="Q58" s="109"/>
      <c r="R58" s="109"/>
      <c r="S58" s="109"/>
      <c r="T58" s="109"/>
      <c r="U58" s="109"/>
      <c r="V58" s="109"/>
      <c r="W58" s="109"/>
      <c r="X58" s="118"/>
      <c r="Y58" s="118"/>
      <c r="Z58" s="118"/>
      <c r="AA58" s="118"/>
      <c r="AB58" s="123"/>
      <c r="AC58" s="125"/>
      <c r="AD58" s="34"/>
    </row>
    <row r="59" spans="2:30" ht="17.25" thickBot="1" x14ac:dyDescent="0.35">
      <c r="B59" s="109" t="s">
        <v>10</v>
      </c>
      <c r="C59" s="109"/>
      <c r="D59" s="109"/>
      <c r="E59" s="109"/>
      <c r="F59" s="109"/>
      <c r="G59" s="109"/>
      <c r="H59" s="263"/>
      <c r="I59" s="109"/>
      <c r="J59" s="33" t="s">
        <v>4</v>
      </c>
      <c r="K59" s="109" t="s">
        <v>11</v>
      </c>
      <c r="L59" s="109"/>
      <c r="M59" s="109"/>
      <c r="N59" s="109"/>
      <c r="O59" s="109"/>
      <c r="P59" s="109"/>
      <c r="Q59" s="109"/>
      <c r="R59" s="109"/>
      <c r="S59" s="109"/>
      <c r="T59" s="109"/>
      <c r="U59" s="109"/>
      <c r="V59" s="109"/>
      <c r="W59" s="109"/>
      <c r="X59" s="118"/>
      <c r="Y59" s="118"/>
      <c r="Z59" s="118"/>
      <c r="AA59" s="118"/>
      <c r="AB59" s="123"/>
      <c r="AC59" s="125"/>
      <c r="AD59" s="34"/>
    </row>
    <row r="60" spans="2:30" ht="17.25" thickBot="1" x14ac:dyDescent="0.35">
      <c r="B60" s="109" t="str">
        <f>IF(ISBLANK(H59),"Bitte Energieart auswählen!","Nettorechnungsbetrag ("&amp;H59&amp;")")</f>
        <v>Bitte Energieart auswählen!</v>
      </c>
      <c r="C60" s="109"/>
      <c r="D60" s="109"/>
      <c r="E60" s="109"/>
      <c r="F60" s="109"/>
      <c r="G60" s="109"/>
      <c r="H60" s="264"/>
      <c r="I60" s="117" t="s">
        <v>12</v>
      </c>
      <c r="J60" s="33" t="s">
        <v>4</v>
      </c>
      <c r="K60" s="109" t="str">
        <f>IF(ISBLANK(H59),"Bitte Energieart auswählen!",H59 &amp; "kosten exkl. Steuern, Abgaben, Netzentgelte, etc.")</f>
        <v>Bitte Energieart auswählen!</v>
      </c>
      <c r="L60" s="109"/>
      <c r="M60" s="109"/>
      <c r="N60" s="109"/>
      <c r="O60" s="109"/>
      <c r="P60" s="109"/>
      <c r="Q60" s="109"/>
      <c r="R60" s="109"/>
      <c r="S60" s="109"/>
      <c r="T60" s="109"/>
      <c r="U60" s="109"/>
      <c r="V60" s="109"/>
      <c r="W60" s="109"/>
      <c r="X60" s="118"/>
      <c r="Y60" s="118"/>
      <c r="Z60" s="118"/>
      <c r="AA60" s="118"/>
      <c r="AB60" s="123"/>
      <c r="AC60" s="125"/>
      <c r="AD60" s="34"/>
    </row>
    <row r="61" spans="2:30" ht="17.25" thickBot="1" x14ac:dyDescent="0.35">
      <c r="B61" s="109" t="str">
        <f>IF(ISBLANK(H59),"Bitte Energieart auswählen!",IF(H58="Nein",H59&amp;"verbrauch in kWh gem. letzter Jahresabrechnung",H59&amp;"verbrauch in kWh im Kalenderjahr "&amp;par_Jahr1))</f>
        <v>Bitte Energieart auswählen!</v>
      </c>
      <c r="C61" s="109"/>
      <c r="D61" s="109"/>
      <c r="E61" s="109"/>
      <c r="F61" s="109"/>
      <c r="G61" s="109"/>
      <c r="H61" s="265"/>
      <c r="I61" s="117" t="s">
        <v>13</v>
      </c>
      <c r="J61" s="33" t="s">
        <v>4</v>
      </c>
      <c r="K61" s="109" t="str">
        <f>IF(H58="Nein","Den Verbrauch entnehmen Sie bitte der letzten Jahresabrechnung, deren Abrechnungszeitraum zwischen " &amp; TEXT(EOMONTH(par_VZ_SEW_Start,0),"t. MMMM jjjj") &amp; " und " &amp;   TEXT(EOMONTH(par_VZ_SEW_Ende+1,0),"t. MMMM jjjj") &amp; " endet.","Bitte geben Sie den Verbrauch für den gesamten Zeitraum von " &amp; TEXT(par_VZ_SEW_Start,"t. MMMM jjjj") &amp; " bis " &amp;   TEXT(par_VZ_SEW_Ende,"t. MMMM jjjj") &amp; " an.")</f>
        <v>Bitte geben Sie den Verbrauch für den gesamten Zeitraum von 1. Jänner 2021 bis 31. Dezember 2021 an.</v>
      </c>
      <c r="L61" s="109"/>
      <c r="M61" s="109"/>
      <c r="N61" s="109"/>
      <c r="O61" s="109"/>
      <c r="P61" s="109"/>
      <c r="Q61" s="109"/>
      <c r="R61" s="109"/>
      <c r="S61" s="109"/>
      <c r="T61" s="109"/>
      <c r="U61" s="109"/>
      <c r="V61" s="109"/>
      <c r="W61" s="109"/>
      <c r="X61" s="118"/>
      <c r="Y61" s="118"/>
      <c r="Z61" s="118"/>
      <c r="AA61" s="118"/>
      <c r="AB61" s="123"/>
      <c r="AC61" s="125"/>
      <c r="AD61" s="34"/>
    </row>
    <row r="62" spans="2:30" s="25" customFormat="1" ht="15" x14ac:dyDescent="0.25">
      <c r="B62" s="99"/>
      <c r="C62" s="99"/>
      <c r="D62" s="99"/>
      <c r="E62" s="99"/>
      <c r="F62" s="99"/>
      <c r="G62" s="99"/>
      <c r="H62" s="99"/>
      <c r="I62" s="99"/>
      <c r="J62" s="99"/>
      <c r="K62" s="99"/>
      <c r="L62" s="99"/>
      <c r="M62" s="99"/>
      <c r="N62" s="99"/>
      <c r="O62" s="99"/>
      <c r="P62" s="99"/>
      <c r="Q62" s="99"/>
      <c r="R62" s="99"/>
      <c r="S62" s="99"/>
      <c r="T62" s="99"/>
      <c r="U62" s="99"/>
      <c r="V62" s="99"/>
      <c r="W62" s="99"/>
      <c r="X62" s="118"/>
      <c r="Y62" s="118"/>
      <c r="Z62" s="118"/>
      <c r="AA62" s="118"/>
      <c r="AB62" s="123"/>
      <c r="AC62" s="95"/>
    </row>
    <row r="63" spans="2:30" ht="19.5" thickBot="1" x14ac:dyDescent="0.45">
      <c r="B63" s="83" t="s">
        <v>6</v>
      </c>
      <c r="C63" s="109"/>
      <c r="D63" s="109"/>
      <c r="E63" s="109"/>
      <c r="F63" s="109"/>
      <c r="G63" s="109"/>
      <c r="H63" s="109"/>
      <c r="I63" s="109"/>
      <c r="J63" s="109"/>
      <c r="K63" s="109"/>
      <c r="L63" s="109"/>
      <c r="M63" s="109"/>
      <c r="N63" s="109"/>
      <c r="O63" s="109"/>
      <c r="P63" s="109"/>
      <c r="Q63" s="109"/>
      <c r="R63" s="109"/>
      <c r="S63" s="109"/>
      <c r="T63" s="109"/>
      <c r="U63" s="109"/>
      <c r="V63" s="109"/>
      <c r="W63" s="109"/>
      <c r="X63" s="118"/>
      <c r="Y63" s="124"/>
      <c r="Z63" s="118"/>
      <c r="AA63" s="118"/>
      <c r="AB63" s="123"/>
      <c r="AC63" s="125"/>
      <c r="AD63" s="34"/>
    </row>
    <row r="64" spans="2:30" ht="17.25" thickBot="1" x14ac:dyDescent="0.35">
      <c r="B64" s="109" t="s">
        <v>201</v>
      </c>
      <c r="C64" s="109"/>
      <c r="D64" s="109"/>
      <c r="E64" s="109"/>
      <c r="F64" s="109"/>
      <c r="G64" s="109"/>
      <c r="H64" s="262"/>
      <c r="I64" s="109"/>
      <c r="J64" s="33" t="s">
        <v>4</v>
      </c>
      <c r="K64" s="109" t="s">
        <v>7</v>
      </c>
      <c r="L64" s="109"/>
      <c r="M64" s="109"/>
      <c r="N64" s="109"/>
      <c r="O64" s="109"/>
      <c r="P64" s="109"/>
      <c r="Q64" s="109"/>
      <c r="R64" s="109"/>
      <c r="S64" s="109"/>
      <c r="T64" s="109"/>
      <c r="U64" s="109"/>
      <c r="V64" s="109"/>
      <c r="W64" s="118" t="str">
        <f>CONCATENATE(H64,"_",H66)</f>
        <v>_</v>
      </c>
      <c r="X64" s="118">
        <f>H65</f>
        <v>0</v>
      </c>
      <c r="Y64" s="118">
        <f>H66</f>
        <v>0</v>
      </c>
      <c r="Z64" s="118">
        <f>H67</f>
        <v>0</v>
      </c>
      <c r="AA64" s="118">
        <f>H68</f>
        <v>0</v>
      </c>
      <c r="AB64" s="123"/>
      <c r="AC64" s="125"/>
      <c r="AD64" s="34"/>
    </row>
    <row r="65" spans="2:30" ht="17.25" thickBot="1" x14ac:dyDescent="0.35">
      <c r="B65" s="109" t="s">
        <v>8</v>
      </c>
      <c r="C65" s="109"/>
      <c r="D65" s="109"/>
      <c r="E65" s="109"/>
      <c r="F65" s="109"/>
      <c r="G65" s="109"/>
      <c r="H65" s="262"/>
      <c r="I65" s="126"/>
      <c r="J65" s="33" t="s">
        <v>4</v>
      </c>
      <c r="K65" s="109" t="str">
        <f>"Ist ein Lastprofilzähler (Messgerät für Großkunden) oder ein genormtes intelligentes Messgerät mit monatlicher Abrechnung verfügbar, erfolgt die Zuschussberechnung gem. " &amp; par_SEW_Richtlinie &amp; "."</f>
        <v>Ist ein Lastprofilzähler (Messgerät für Großkunden) oder ein genormtes intelligentes Messgerät mit monatlicher Abrechnung verfügbar, erfolgt die Zuschussberechnung gem. Pkt. 9.1 bzw. Pkt. 9.4 der Richtlinie.</v>
      </c>
      <c r="L65" s="109"/>
      <c r="M65" s="109"/>
      <c r="N65" s="109"/>
      <c r="O65" s="109"/>
      <c r="P65" s="109"/>
      <c r="Q65" s="109"/>
      <c r="R65" s="109"/>
      <c r="S65" s="109"/>
      <c r="T65" s="109"/>
      <c r="U65" s="109"/>
      <c r="V65" s="109"/>
      <c r="W65" s="109"/>
      <c r="X65" s="118"/>
      <c r="Y65" s="118"/>
      <c r="Z65" s="118"/>
      <c r="AA65" s="118"/>
      <c r="AB65" s="123"/>
      <c r="AC65" s="125"/>
      <c r="AD65" s="34"/>
    </row>
    <row r="66" spans="2:30" ht="17.25" thickBot="1" x14ac:dyDescent="0.35">
      <c r="B66" s="109" t="s">
        <v>10</v>
      </c>
      <c r="C66" s="109"/>
      <c r="D66" s="109"/>
      <c r="E66" s="109"/>
      <c r="F66" s="109"/>
      <c r="G66" s="109"/>
      <c r="H66" s="263"/>
      <c r="I66" s="109"/>
      <c r="J66" s="33" t="s">
        <v>4</v>
      </c>
      <c r="K66" s="109" t="s">
        <v>11</v>
      </c>
      <c r="L66" s="109"/>
      <c r="M66" s="109"/>
      <c r="N66" s="109"/>
      <c r="O66" s="109"/>
      <c r="P66" s="109"/>
      <c r="Q66" s="109"/>
      <c r="R66" s="109"/>
      <c r="S66" s="109"/>
      <c r="T66" s="109"/>
      <c r="U66" s="109"/>
      <c r="V66" s="109"/>
      <c r="W66" s="109"/>
      <c r="X66" s="118"/>
      <c r="Y66" s="118"/>
      <c r="Z66" s="118"/>
      <c r="AA66" s="118"/>
      <c r="AB66" s="123"/>
      <c r="AC66" s="125"/>
      <c r="AD66" s="34"/>
    </row>
    <row r="67" spans="2:30" ht="17.25" thickBot="1" x14ac:dyDescent="0.35">
      <c r="B67" s="109" t="str">
        <f>IF(ISBLANK(H66),"Bitte Energieart auswählen!","Nettorechnungsbetrag ("&amp;H66&amp;")")</f>
        <v>Bitte Energieart auswählen!</v>
      </c>
      <c r="C67" s="109"/>
      <c r="D67" s="109"/>
      <c r="E67" s="109"/>
      <c r="F67" s="109"/>
      <c r="G67" s="109"/>
      <c r="H67" s="264"/>
      <c r="I67" s="117" t="s">
        <v>12</v>
      </c>
      <c r="J67" s="33" t="s">
        <v>4</v>
      </c>
      <c r="K67" s="109" t="str">
        <f>IF(ISBLANK(H66),"Bitte Energieart auswählen!",H66 &amp; "kosten exkl. Steuern, Abgaben, Netzentgelte, etc.")</f>
        <v>Bitte Energieart auswählen!</v>
      </c>
      <c r="L67" s="109"/>
      <c r="M67" s="109"/>
      <c r="N67" s="109"/>
      <c r="O67" s="109"/>
      <c r="P67" s="109"/>
      <c r="Q67" s="109"/>
      <c r="R67" s="109"/>
      <c r="S67" s="109"/>
      <c r="T67" s="109"/>
      <c r="U67" s="109"/>
      <c r="V67" s="109"/>
      <c r="W67" s="109"/>
      <c r="X67" s="118"/>
      <c r="Y67" s="118"/>
      <c r="Z67" s="118"/>
      <c r="AA67" s="118"/>
      <c r="AB67" s="123"/>
      <c r="AC67" s="125"/>
      <c r="AD67" s="34"/>
    </row>
    <row r="68" spans="2:30" ht="17.25" thickBot="1" x14ac:dyDescent="0.35">
      <c r="B68" s="109" t="str">
        <f>IF(ISBLANK(H66),"Bitte Energieart auswählen!",IF(H65="Nein",H66&amp;"verbrauch in kWh gem. letzter Jahresabrechnung",H66&amp;"verbrauch in kWh im Kalenderjahr "&amp;par_Jahr1))</f>
        <v>Bitte Energieart auswählen!</v>
      </c>
      <c r="C68" s="109"/>
      <c r="D68" s="109"/>
      <c r="E68" s="109"/>
      <c r="F68" s="109"/>
      <c r="G68" s="109"/>
      <c r="H68" s="265"/>
      <c r="I68" s="117" t="s">
        <v>13</v>
      </c>
      <c r="J68" s="33" t="s">
        <v>4</v>
      </c>
      <c r="K68" s="109" t="str">
        <f>IF(H65="Nein","Den Verbrauch entnehmen Sie bitte der letzten Jahresabrechnung, deren Abrechnungszeitraum zwischen " &amp; TEXT(EOMONTH(par_VZ_SEW_Start,0),"t. MMMM jjjj") &amp; " und " &amp;   TEXT(EOMONTH(par_VZ_SEW_Ende+1,0),"t. MMMM jjjj") &amp; " endet.","Bitte geben Sie den Verbrauch für den gesamten Zeitraum von " &amp; TEXT(par_VZ_SEW_Start,"t. MMMM jjjj") &amp; " bis " &amp;   TEXT(par_VZ_SEW_Ende,"t. MMMM jjjj") &amp; " an.")</f>
        <v>Bitte geben Sie den Verbrauch für den gesamten Zeitraum von 1. Jänner 2021 bis 31. Dezember 2021 an.</v>
      </c>
      <c r="L68" s="109"/>
      <c r="M68" s="109"/>
      <c r="N68" s="109"/>
      <c r="O68" s="109"/>
      <c r="P68" s="109"/>
      <c r="Q68" s="109"/>
      <c r="R68" s="109"/>
      <c r="S68" s="109"/>
      <c r="T68" s="109"/>
      <c r="U68" s="109"/>
      <c r="V68" s="109"/>
      <c r="W68" s="109"/>
      <c r="X68" s="118"/>
      <c r="Y68" s="118"/>
      <c r="Z68" s="118"/>
      <c r="AA68" s="118"/>
      <c r="AB68" s="123"/>
      <c r="AC68" s="125"/>
      <c r="AD68" s="34"/>
    </row>
    <row r="69" spans="2:30" s="25" customFormat="1" ht="15" x14ac:dyDescent="0.25">
      <c r="B69" s="99"/>
      <c r="C69" s="99"/>
      <c r="D69" s="99"/>
      <c r="E69" s="99"/>
      <c r="F69" s="99"/>
      <c r="G69" s="99"/>
      <c r="H69" s="99"/>
      <c r="I69" s="99"/>
      <c r="J69" s="99"/>
      <c r="K69" s="99"/>
      <c r="L69" s="99"/>
      <c r="M69" s="99"/>
      <c r="N69" s="99"/>
      <c r="O69" s="99"/>
      <c r="P69" s="99"/>
      <c r="Q69" s="99"/>
      <c r="R69" s="99"/>
      <c r="S69" s="99"/>
      <c r="T69" s="99"/>
      <c r="U69" s="99"/>
      <c r="V69" s="99"/>
      <c r="W69" s="99"/>
      <c r="X69" s="118"/>
      <c r="Y69" s="118"/>
      <c r="Z69" s="118"/>
      <c r="AA69" s="118"/>
      <c r="AB69" s="123"/>
      <c r="AC69" s="95"/>
    </row>
    <row r="70" spans="2:30" ht="19.5" thickBot="1" x14ac:dyDescent="0.45">
      <c r="B70" s="83" t="s">
        <v>6</v>
      </c>
      <c r="C70" s="109"/>
      <c r="D70" s="109"/>
      <c r="E70" s="109"/>
      <c r="F70" s="109"/>
      <c r="G70" s="109"/>
      <c r="H70" s="109"/>
      <c r="I70" s="109"/>
      <c r="J70" s="109"/>
      <c r="K70" s="109"/>
      <c r="L70" s="109"/>
      <c r="M70" s="109"/>
      <c r="N70" s="109"/>
      <c r="O70" s="109"/>
      <c r="P70" s="109"/>
      <c r="Q70" s="109"/>
      <c r="R70" s="109"/>
      <c r="S70" s="109"/>
      <c r="T70" s="109"/>
      <c r="U70" s="109"/>
      <c r="V70" s="109"/>
      <c r="W70" s="109"/>
      <c r="X70" s="118"/>
      <c r="Y70" s="124"/>
      <c r="Z70" s="118"/>
      <c r="AA70" s="118"/>
      <c r="AB70" s="123"/>
      <c r="AC70" s="125"/>
      <c r="AD70" s="34"/>
    </row>
    <row r="71" spans="2:30" ht="17.25" thickBot="1" x14ac:dyDescent="0.35">
      <c r="B71" s="109" t="s">
        <v>201</v>
      </c>
      <c r="C71" s="109"/>
      <c r="D71" s="109"/>
      <c r="E71" s="109"/>
      <c r="F71" s="109"/>
      <c r="G71" s="109"/>
      <c r="H71" s="262"/>
      <c r="I71" s="109"/>
      <c r="J71" s="33" t="s">
        <v>4</v>
      </c>
      <c r="K71" s="109" t="s">
        <v>7</v>
      </c>
      <c r="L71" s="109"/>
      <c r="M71" s="109"/>
      <c r="N71" s="109"/>
      <c r="O71" s="109"/>
      <c r="P71" s="109"/>
      <c r="Q71" s="109"/>
      <c r="R71" s="109"/>
      <c r="S71" s="109"/>
      <c r="T71" s="109"/>
      <c r="U71" s="109"/>
      <c r="V71" s="109"/>
      <c r="W71" s="118" t="str">
        <f>CONCATENATE(H71,"_",H73)</f>
        <v>_</v>
      </c>
      <c r="X71" s="118">
        <f>H72</f>
        <v>0</v>
      </c>
      <c r="Y71" s="118">
        <f>H73</f>
        <v>0</v>
      </c>
      <c r="Z71" s="118">
        <f>H74</f>
        <v>0</v>
      </c>
      <c r="AA71" s="118">
        <f>H75</f>
        <v>0</v>
      </c>
      <c r="AB71" s="123"/>
      <c r="AC71" s="125"/>
      <c r="AD71" s="34"/>
    </row>
    <row r="72" spans="2:30" ht="17.25" thickBot="1" x14ac:dyDescent="0.35">
      <c r="B72" s="109" t="s">
        <v>8</v>
      </c>
      <c r="C72" s="109"/>
      <c r="D72" s="109"/>
      <c r="E72" s="109"/>
      <c r="F72" s="109"/>
      <c r="G72" s="109"/>
      <c r="H72" s="262"/>
      <c r="I72" s="126"/>
      <c r="J72" s="33" t="s">
        <v>4</v>
      </c>
      <c r="K72" s="109" t="str">
        <f>"Ist ein Lastprofilzähler (Messgerät für Großkunden) oder ein genormtes intelligentes Messgerät mit monatlicher Abrechnung verfügbar, erfolgt die Zuschussberechnung gem. " &amp; par_SEW_Richtlinie &amp; "."</f>
        <v>Ist ein Lastprofilzähler (Messgerät für Großkunden) oder ein genormtes intelligentes Messgerät mit monatlicher Abrechnung verfügbar, erfolgt die Zuschussberechnung gem. Pkt. 9.1 bzw. Pkt. 9.4 der Richtlinie.</v>
      </c>
      <c r="L72" s="109"/>
      <c r="M72" s="109"/>
      <c r="N72" s="109"/>
      <c r="O72" s="109"/>
      <c r="P72" s="109"/>
      <c r="Q72" s="109"/>
      <c r="R72" s="109"/>
      <c r="S72" s="109"/>
      <c r="T72" s="109"/>
      <c r="U72" s="109"/>
      <c r="V72" s="109"/>
      <c r="W72" s="109"/>
      <c r="X72" s="118"/>
      <c r="Y72" s="118"/>
      <c r="Z72" s="118"/>
      <c r="AA72" s="118"/>
      <c r="AB72" s="123"/>
      <c r="AC72" s="125"/>
      <c r="AD72" s="34"/>
    </row>
    <row r="73" spans="2:30" ht="17.25" thickBot="1" x14ac:dyDescent="0.35">
      <c r="B73" s="109" t="s">
        <v>10</v>
      </c>
      <c r="C73" s="109"/>
      <c r="D73" s="109"/>
      <c r="E73" s="109"/>
      <c r="F73" s="109"/>
      <c r="G73" s="109"/>
      <c r="H73" s="263"/>
      <c r="I73" s="109"/>
      <c r="J73" s="33" t="s">
        <v>4</v>
      </c>
      <c r="K73" s="109" t="s">
        <v>11</v>
      </c>
      <c r="L73" s="109"/>
      <c r="M73" s="109"/>
      <c r="N73" s="109"/>
      <c r="O73" s="109"/>
      <c r="P73" s="109"/>
      <c r="Q73" s="109"/>
      <c r="R73" s="109"/>
      <c r="S73" s="109"/>
      <c r="T73" s="109"/>
      <c r="U73" s="109"/>
      <c r="V73" s="109"/>
      <c r="W73" s="109"/>
      <c r="X73" s="118"/>
      <c r="Y73" s="118"/>
      <c r="Z73" s="118"/>
      <c r="AA73" s="118"/>
      <c r="AB73" s="123"/>
      <c r="AC73" s="125"/>
      <c r="AD73" s="34"/>
    </row>
    <row r="74" spans="2:30" ht="17.25" thickBot="1" x14ac:dyDescent="0.35">
      <c r="B74" s="109" t="str">
        <f>IF(ISBLANK(H73),"Bitte Energieart auswählen!","Nettorechnungsbetrag ("&amp;H73&amp;")")</f>
        <v>Bitte Energieart auswählen!</v>
      </c>
      <c r="C74" s="109"/>
      <c r="D74" s="109"/>
      <c r="E74" s="109"/>
      <c r="F74" s="109"/>
      <c r="G74" s="109"/>
      <c r="H74" s="264"/>
      <c r="I74" s="117" t="s">
        <v>12</v>
      </c>
      <c r="J74" s="33" t="s">
        <v>4</v>
      </c>
      <c r="K74" s="109" t="str">
        <f>IF(ISBLANK(H73),"Bitte Energieart auswählen!",H73 &amp; "kosten exkl. Steuern, Abgaben, Netzentgelte, etc.")</f>
        <v>Bitte Energieart auswählen!</v>
      </c>
      <c r="L74" s="109"/>
      <c r="M74" s="109"/>
      <c r="N74" s="109"/>
      <c r="O74" s="109"/>
      <c r="P74" s="109"/>
      <c r="Q74" s="109"/>
      <c r="R74" s="109"/>
      <c r="S74" s="109"/>
      <c r="T74" s="109"/>
      <c r="U74" s="109"/>
      <c r="V74" s="109"/>
      <c r="W74" s="109"/>
      <c r="X74" s="118"/>
      <c r="Y74" s="118"/>
      <c r="Z74" s="118"/>
      <c r="AA74" s="118"/>
      <c r="AB74" s="123"/>
      <c r="AC74" s="125"/>
      <c r="AD74" s="34"/>
    </row>
    <row r="75" spans="2:30" ht="17.25" thickBot="1" x14ac:dyDescent="0.35">
      <c r="B75" s="109" t="str">
        <f>IF(ISBLANK(H73),"Bitte Energieart auswählen!",IF(H72="Nein",H73&amp;"verbrauch in kWh gem. letzter Jahresabrechnung",H73&amp;"verbrauch in kWh im Kalenderjahr "&amp;par_Jahr1))</f>
        <v>Bitte Energieart auswählen!</v>
      </c>
      <c r="C75" s="109"/>
      <c r="D75" s="109"/>
      <c r="E75" s="109"/>
      <c r="F75" s="109"/>
      <c r="G75" s="109"/>
      <c r="H75" s="265"/>
      <c r="I75" s="117" t="s">
        <v>13</v>
      </c>
      <c r="J75" s="33" t="s">
        <v>4</v>
      </c>
      <c r="K75" s="109" t="str">
        <f>IF(H72="Nein","Den Verbrauch entnehmen Sie bitte der letzten Jahresabrechnung, deren Abrechnungszeitraum zwischen " &amp; TEXT(EOMONTH(par_VZ_SEW_Start,0),"t. MMMM jjjj") &amp; " und " &amp;   TEXT(EOMONTH(par_VZ_SEW_Ende+1,0),"t. MMMM jjjj") &amp; " endet.","Bitte geben Sie den Verbrauch für den gesamten Zeitraum von " &amp; TEXT(par_VZ_SEW_Start,"t. MMMM jjjj") &amp; " bis " &amp;   TEXT(par_VZ_SEW_Ende,"t. MMMM jjjj") &amp; " an.")</f>
        <v>Bitte geben Sie den Verbrauch für den gesamten Zeitraum von 1. Jänner 2021 bis 31. Dezember 2021 an.</v>
      </c>
      <c r="L75" s="109"/>
      <c r="M75" s="109"/>
      <c r="N75" s="109"/>
      <c r="O75" s="109"/>
      <c r="P75" s="109"/>
      <c r="Q75" s="109"/>
      <c r="R75" s="109"/>
      <c r="S75" s="109"/>
      <c r="T75" s="109"/>
      <c r="U75" s="109"/>
      <c r="V75" s="109"/>
      <c r="W75" s="109"/>
      <c r="X75" s="118"/>
      <c r="Y75" s="118"/>
      <c r="Z75" s="118"/>
      <c r="AA75" s="118"/>
      <c r="AB75" s="123"/>
      <c r="AC75" s="125"/>
      <c r="AD75" s="34"/>
    </row>
    <row r="76" spans="2:30" s="25" customFormat="1" ht="15" x14ac:dyDescent="0.25">
      <c r="B76" s="99"/>
      <c r="C76" s="99"/>
      <c r="D76" s="99"/>
      <c r="E76" s="99"/>
      <c r="F76" s="99"/>
      <c r="G76" s="99"/>
      <c r="H76" s="99"/>
      <c r="I76" s="99"/>
      <c r="J76" s="99"/>
      <c r="K76" s="99"/>
      <c r="L76" s="99"/>
      <c r="M76" s="99"/>
      <c r="N76" s="99"/>
      <c r="O76" s="99"/>
      <c r="P76" s="99"/>
      <c r="Q76" s="99"/>
      <c r="R76" s="99"/>
      <c r="S76" s="99"/>
      <c r="T76" s="99"/>
      <c r="U76" s="99"/>
      <c r="V76" s="99"/>
      <c r="W76" s="99"/>
      <c r="X76" s="118"/>
      <c r="Y76" s="118"/>
      <c r="Z76" s="118"/>
      <c r="AA76" s="118"/>
      <c r="AB76" s="123"/>
      <c r="AC76" s="95"/>
    </row>
    <row r="77" spans="2:30" ht="19.5" thickBot="1" x14ac:dyDescent="0.45">
      <c r="B77" s="83" t="s">
        <v>6</v>
      </c>
      <c r="C77" s="109"/>
      <c r="D77" s="109"/>
      <c r="E77" s="109"/>
      <c r="F77" s="109"/>
      <c r="G77" s="109"/>
      <c r="H77" s="109"/>
      <c r="I77" s="109"/>
      <c r="J77" s="109"/>
      <c r="K77" s="109"/>
      <c r="L77" s="109"/>
      <c r="M77" s="109"/>
      <c r="N77" s="109"/>
      <c r="O77" s="109"/>
      <c r="P77" s="109"/>
      <c r="Q77" s="109"/>
      <c r="R77" s="109"/>
      <c r="S77" s="109"/>
      <c r="T77" s="109"/>
      <c r="U77" s="109"/>
      <c r="V77" s="109"/>
      <c r="W77" s="109"/>
      <c r="X77" s="118"/>
      <c r="Y77" s="124"/>
      <c r="Z77" s="118"/>
      <c r="AA77" s="118"/>
      <c r="AB77" s="123"/>
      <c r="AC77" s="125"/>
      <c r="AD77" s="34"/>
    </row>
    <row r="78" spans="2:30" ht="17.25" thickBot="1" x14ac:dyDescent="0.35">
      <c r="B78" s="109" t="s">
        <v>201</v>
      </c>
      <c r="C78" s="109"/>
      <c r="D78" s="109"/>
      <c r="E78" s="109"/>
      <c r="F78" s="109"/>
      <c r="G78" s="109"/>
      <c r="H78" s="262"/>
      <c r="I78" s="109"/>
      <c r="J78" s="33" t="s">
        <v>4</v>
      </c>
      <c r="K78" s="109" t="s">
        <v>7</v>
      </c>
      <c r="L78" s="109"/>
      <c r="M78" s="109"/>
      <c r="N78" s="109"/>
      <c r="O78" s="109"/>
      <c r="P78" s="109"/>
      <c r="Q78" s="109"/>
      <c r="R78" s="109"/>
      <c r="S78" s="109"/>
      <c r="T78" s="109"/>
      <c r="U78" s="109"/>
      <c r="V78" s="109"/>
      <c r="W78" s="118" t="str">
        <f>CONCATENATE(H78,"_",H80)</f>
        <v>_</v>
      </c>
      <c r="X78" s="118">
        <f>H79</f>
        <v>0</v>
      </c>
      <c r="Y78" s="118">
        <f>H80</f>
        <v>0</v>
      </c>
      <c r="Z78" s="118">
        <f>H81</f>
        <v>0</v>
      </c>
      <c r="AA78" s="118">
        <f>H82</f>
        <v>0</v>
      </c>
      <c r="AB78" s="123"/>
      <c r="AC78" s="125"/>
      <c r="AD78" s="34"/>
    </row>
    <row r="79" spans="2:30" ht="17.25" thickBot="1" x14ac:dyDescent="0.35">
      <c r="B79" s="109" t="s">
        <v>8</v>
      </c>
      <c r="C79" s="109"/>
      <c r="D79" s="109"/>
      <c r="E79" s="109"/>
      <c r="F79" s="109"/>
      <c r="G79" s="109"/>
      <c r="H79" s="262"/>
      <c r="I79" s="126"/>
      <c r="J79" s="33" t="s">
        <v>4</v>
      </c>
      <c r="K79" s="109" t="str">
        <f>"Ist ein Lastprofilzähler (Messgerät für Großkunden) oder ein genormtes intelligentes Messgerät mit monatlicher Abrechnung verfügbar, erfolgt die Zuschussberechnung gem. " &amp; par_SEW_Richtlinie &amp; "."</f>
        <v>Ist ein Lastprofilzähler (Messgerät für Großkunden) oder ein genormtes intelligentes Messgerät mit monatlicher Abrechnung verfügbar, erfolgt die Zuschussberechnung gem. Pkt. 9.1 bzw. Pkt. 9.4 der Richtlinie.</v>
      </c>
      <c r="L79" s="109"/>
      <c r="M79" s="109"/>
      <c r="N79" s="109"/>
      <c r="O79" s="109"/>
      <c r="P79" s="109"/>
      <c r="Q79" s="109"/>
      <c r="R79" s="109"/>
      <c r="S79" s="109"/>
      <c r="T79" s="109"/>
      <c r="U79" s="109"/>
      <c r="V79" s="109"/>
      <c r="W79" s="109"/>
      <c r="X79" s="118"/>
      <c r="Y79" s="118"/>
      <c r="Z79" s="118"/>
      <c r="AA79" s="118"/>
      <c r="AB79" s="123"/>
      <c r="AC79" s="125"/>
      <c r="AD79" s="34"/>
    </row>
    <row r="80" spans="2:30" ht="17.25" thickBot="1" x14ac:dyDescent="0.35">
      <c r="B80" s="109" t="s">
        <v>10</v>
      </c>
      <c r="C80" s="109"/>
      <c r="D80" s="109"/>
      <c r="E80" s="109"/>
      <c r="F80" s="109"/>
      <c r="G80" s="109"/>
      <c r="H80" s="263"/>
      <c r="I80" s="109"/>
      <c r="J80" s="33" t="s">
        <v>4</v>
      </c>
      <c r="K80" s="109" t="s">
        <v>11</v>
      </c>
      <c r="L80" s="109"/>
      <c r="M80" s="109"/>
      <c r="N80" s="109"/>
      <c r="O80" s="109"/>
      <c r="P80" s="109"/>
      <c r="Q80" s="109"/>
      <c r="R80" s="109"/>
      <c r="S80" s="109"/>
      <c r="T80" s="109"/>
      <c r="U80" s="109"/>
      <c r="V80" s="109"/>
      <c r="W80" s="109"/>
      <c r="X80" s="118"/>
      <c r="Y80" s="118"/>
      <c r="Z80" s="118"/>
      <c r="AA80" s="118"/>
      <c r="AB80" s="123"/>
      <c r="AC80" s="125"/>
      <c r="AD80" s="34"/>
    </row>
    <row r="81" spans="2:30" ht="17.25" thickBot="1" x14ac:dyDescent="0.35">
      <c r="B81" s="109" t="str">
        <f>IF(ISBLANK(H80),"Bitte Energieart auswählen!","Nettorechnungsbetrag ("&amp;H80&amp;")")</f>
        <v>Bitte Energieart auswählen!</v>
      </c>
      <c r="C81" s="109"/>
      <c r="D81" s="109"/>
      <c r="E81" s="109"/>
      <c r="F81" s="109"/>
      <c r="G81" s="109"/>
      <c r="H81" s="264"/>
      <c r="I81" s="117" t="s">
        <v>12</v>
      </c>
      <c r="J81" s="33" t="s">
        <v>4</v>
      </c>
      <c r="K81" s="109" t="str">
        <f>IF(ISBLANK(H80),"Bitte Energieart auswählen!",H80 &amp; "kosten exkl. Steuern, Abgaben, Netzentgelte, etc.")</f>
        <v>Bitte Energieart auswählen!</v>
      </c>
      <c r="L81" s="109"/>
      <c r="M81" s="109"/>
      <c r="N81" s="109"/>
      <c r="O81" s="109"/>
      <c r="P81" s="109"/>
      <c r="Q81" s="109"/>
      <c r="R81" s="109"/>
      <c r="S81" s="109"/>
      <c r="T81" s="109"/>
      <c r="U81" s="109"/>
      <c r="V81" s="109"/>
      <c r="W81" s="109"/>
      <c r="X81" s="118"/>
      <c r="Y81" s="118"/>
      <c r="Z81" s="118"/>
      <c r="AA81" s="118"/>
      <c r="AB81" s="123"/>
      <c r="AC81" s="125"/>
      <c r="AD81" s="34"/>
    </row>
    <row r="82" spans="2:30" ht="17.25" thickBot="1" x14ac:dyDescent="0.35">
      <c r="B82" s="109" t="str">
        <f>IF(ISBLANK(H80),"Bitte Energieart auswählen!",IF(H79="Nein",H80&amp;"verbrauch in kWh gem. letzter Jahresabrechnung",H80&amp;"verbrauch in kWh im Kalenderjahr "&amp;par_Jahr1))</f>
        <v>Bitte Energieart auswählen!</v>
      </c>
      <c r="C82" s="109"/>
      <c r="D82" s="109"/>
      <c r="E82" s="109"/>
      <c r="F82" s="109"/>
      <c r="G82" s="109"/>
      <c r="H82" s="265"/>
      <c r="I82" s="117" t="s">
        <v>13</v>
      </c>
      <c r="J82" s="33" t="s">
        <v>4</v>
      </c>
      <c r="K82" s="109" t="str">
        <f>IF(H79="Nein","Den Verbrauch entnehmen Sie bitte der letzten Jahresabrechnung, deren Abrechnungszeitraum zwischen " &amp; TEXT(EOMONTH(par_VZ_SEW_Start,0),"t. MMMM jjjj") &amp; " und " &amp;   TEXT(EOMONTH(par_VZ_SEW_Ende+1,0),"t. MMMM jjjj") &amp; " endet.","Bitte geben Sie den Verbrauch für den gesamten Zeitraum von " &amp; TEXT(par_VZ_SEW_Start,"t. MMMM jjjj") &amp; " bis " &amp;   TEXT(par_VZ_SEW_Ende,"t. MMMM jjjj") &amp; " an.")</f>
        <v>Bitte geben Sie den Verbrauch für den gesamten Zeitraum von 1. Jänner 2021 bis 31. Dezember 2021 an.</v>
      </c>
      <c r="L82" s="109"/>
      <c r="M82" s="109"/>
      <c r="N82" s="109"/>
      <c r="O82" s="109"/>
      <c r="P82" s="109"/>
      <c r="Q82" s="109"/>
      <c r="R82" s="109"/>
      <c r="S82" s="109"/>
      <c r="T82" s="109"/>
      <c r="U82" s="109"/>
      <c r="V82" s="109"/>
      <c r="W82" s="109"/>
      <c r="X82" s="118"/>
      <c r="Y82" s="118"/>
      <c r="Z82" s="118"/>
      <c r="AA82" s="118"/>
      <c r="AB82" s="123"/>
      <c r="AC82" s="125"/>
      <c r="AD82" s="34"/>
    </row>
    <row r="83" spans="2:30" s="25" customFormat="1" ht="15" x14ac:dyDescent="0.25">
      <c r="B83" s="99"/>
      <c r="C83" s="99"/>
      <c r="D83" s="99"/>
      <c r="E83" s="99"/>
      <c r="F83" s="99"/>
      <c r="G83" s="99"/>
      <c r="H83" s="99"/>
      <c r="I83" s="99"/>
      <c r="J83" s="99"/>
      <c r="K83" s="99"/>
      <c r="L83" s="99"/>
      <c r="M83" s="99"/>
      <c r="N83" s="99"/>
      <c r="O83" s="99"/>
      <c r="P83" s="99"/>
      <c r="Q83" s="99"/>
      <c r="R83" s="99"/>
      <c r="S83" s="99"/>
      <c r="T83" s="99"/>
      <c r="U83" s="99"/>
      <c r="V83" s="99"/>
      <c r="W83" s="99"/>
      <c r="X83" s="118"/>
      <c r="Y83" s="118"/>
      <c r="Z83" s="118"/>
      <c r="AA83" s="118"/>
      <c r="AB83" s="123"/>
      <c r="AC83" s="95"/>
    </row>
    <row r="84" spans="2:30" ht="19.5" thickBot="1" x14ac:dyDescent="0.45">
      <c r="B84" s="83" t="s">
        <v>6</v>
      </c>
      <c r="C84" s="109"/>
      <c r="D84" s="109"/>
      <c r="E84" s="109"/>
      <c r="F84" s="109"/>
      <c r="G84" s="109"/>
      <c r="H84" s="109"/>
      <c r="I84" s="109"/>
      <c r="J84" s="109"/>
      <c r="K84" s="109"/>
      <c r="L84" s="109"/>
      <c r="M84" s="109"/>
      <c r="N84" s="109"/>
      <c r="O84" s="109"/>
      <c r="P84" s="109"/>
      <c r="Q84" s="109"/>
      <c r="R84" s="109"/>
      <c r="S84" s="109"/>
      <c r="T84" s="109"/>
      <c r="U84" s="109"/>
      <c r="V84" s="109"/>
      <c r="W84" s="109"/>
      <c r="X84" s="118"/>
      <c r="Y84" s="124"/>
      <c r="Z84" s="118"/>
      <c r="AA84" s="118"/>
      <c r="AB84" s="123"/>
      <c r="AC84" s="125"/>
      <c r="AD84" s="34"/>
    </row>
    <row r="85" spans="2:30" ht="17.25" thickBot="1" x14ac:dyDescent="0.35">
      <c r="B85" s="109" t="s">
        <v>201</v>
      </c>
      <c r="C85" s="109"/>
      <c r="D85" s="109"/>
      <c r="E85" s="109"/>
      <c r="F85" s="109"/>
      <c r="G85" s="109"/>
      <c r="H85" s="262"/>
      <c r="I85" s="109"/>
      <c r="J85" s="33" t="s">
        <v>4</v>
      </c>
      <c r="K85" s="109" t="s">
        <v>7</v>
      </c>
      <c r="L85" s="109"/>
      <c r="M85" s="109"/>
      <c r="N85" s="109"/>
      <c r="O85" s="109"/>
      <c r="P85" s="109"/>
      <c r="Q85" s="109"/>
      <c r="R85" s="109"/>
      <c r="S85" s="109"/>
      <c r="T85" s="109"/>
      <c r="U85" s="109"/>
      <c r="V85" s="109"/>
      <c r="W85" s="118" t="str">
        <f>CONCATENATE(H85,"_",H87)</f>
        <v>_</v>
      </c>
      <c r="X85" s="118">
        <f>H86</f>
        <v>0</v>
      </c>
      <c r="Y85" s="118">
        <f>H87</f>
        <v>0</v>
      </c>
      <c r="Z85" s="118">
        <f>H88</f>
        <v>0</v>
      </c>
      <c r="AA85" s="118">
        <f>H89</f>
        <v>0</v>
      </c>
      <c r="AB85" s="123"/>
      <c r="AC85" s="125"/>
      <c r="AD85" s="34"/>
    </row>
    <row r="86" spans="2:30" ht="17.25" thickBot="1" x14ac:dyDescent="0.35">
      <c r="B86" s="109" t="s">
        <v>8</v>
      </c>
      <c r="C86" s="109"/>
      <c r="D86" s="109"/>
      <c r="E86" s="109"/>
      <c r="F86" s="109"/>
      <c r="G86" s="109"/>
      <c r="H86" s="262"/>
      <c r="I86" s="126"/>
      <c r="J86" s="33" t="s">
        <v>4</v>
      </c>
      <c r="K86" s="109" t="str">
        <f>"Ist ein Lastprofilzähler (Messgerät für Großkunden) oder ein genormtes intelligentes Messgerät mit monatlicher Abrechnung verfügbar, erfolgt die Zuschussberechnung gem. " &amp; par_SEW_Richtlinie &amp; "."</f>
        <v>Ist ein Lastprofilzähler (Messgerät für Großkunden) oder ein genormtes intelligentes Messgerät mit monatlicher Abrechnung verfügbar, erfolgt die Zuschussberechnung gem. Pkt. 9.1 bzw. Pkt. 9.4 der Richtlinie.</v>
      </c>
      <c r="L86" s="109"/>
      <c r="M86" s="109"/>
      <c r="N86" s="109"/>
      <c r="O86" s="109"/>
      <c r="P86" s="109"/>
      <c r="Q86" s="109"/>
      <c r="R86" s="109"/>
      <c r="S86" s="109"/>
      <c r="T86" s="109"/>
      <c r="U86" s="109"/>
      <c r="V86" s="109"/>
      <c r="W86" s="109"/>
      <c r="X86" s="118"/>
      <c r="Y86" s="118"/>
      <c r="Z86" s="118"/>
      <c r="AA86" s="118"/>
      <c r="AB86" s="123"/>
      <c r="AC86" s="125"/>
      <c r="AD86" s="34"/>
    </row>
    <row r="87" spans="2:30" ht="17.25" thickBot="1" x14ac:dyDescent="0.35">
      <c r="B87" s="109" t="s">
        <v>10</v>
      </c>
      <c r="C87" s="109"/>
      <c r="D87" s="109"/>
      <c r="E87" s="109"/>
      <c r="F87" s="109"/>
      <c r="G87" s="109"/>
      <c r="H87" s="263"/>
      <c r="I87" s="109"/>
      <c r="J87" s="33" t="s">
        <v>4</v>
      </c>
      <c r="K87" s="109" t="s">
        <v>11</v>
      </c>
      <c r="L87" s="109"/>
      <c r="M87" s="109"/>
      <c r="N87" s="109"/>
      <c r="O87" s="109"/>
      <c r="P87" s="109"/>
      <c r="Q87" s="109"/>
      <c r="R87" s="109"/>
      <c r="S87" s="109"/>
      <c r="T87" s="109"/>
      <c r="U87" s="109"/>
      <c r="V87" s="109"/>
      <c r="W87" s="109"/>
      <c r="X87" s="118"/>
      <c r="Y87" s="118"/>
      <c r="Z87" s="118"/>
      <c r="AA87" s="118"/>
      <c r="AB87" s="123"/>
      <c r="AC87" s="125"/>
      <c r="AD87" s="34"/>
    </row>
    <row r="88" spans="2:30" ht="17.25" thickBot="1" x14ac:dyDescent="0.35">
      <c r="B88" s="109" t="str">
        <f>IF(ISBLANK(H87),"Bitte Energieart auswählen!","Nettorechnungsbetrag ("&amp;H87&amp;")")</f>
        <v>Bitte Energieart auswählen!</v>
      </c>
      <c r="C88" s="109"/>
      <c r="D88" s="109"/>
      <c r="E88" s="109"/>
      <c r="F88" s="109"/>
      <c r="G88" s="109"/>
      <c r="H88" s="264"/>
      <c r="I88" s="117" t="s">
        <v>12</v>
      </c>
      <c r="J88" s="33" t="s">
        <v>4</v>
      </c>
      <c r="K88" s="109" t="str">
        <f>IF(ISBLANK(H87),"Bitte Energieart auswählen!",H87 &amp; "kosten exkl. Steuern, Abgaben, Netzentgelte, etc.")</f>
        <v>Bitte Energieart auswählen!</v>
      </c>
      <c r="L88" s="109"/>
      <c r="M88" s="109"/>
      <c r="N88" s="109"/>
      <c r="O88" s="109"/>
      <c r="P88" s="109"/>
      <c r="Q88" s="109"/>
      <c r="R88" s="109"/>
      <c r="S88" s="109"/>
      <c r="T88" s="109"/>
      <c r="U88" s="109"/>
      <c r="V88" s="109"/>
      <c r="W88" s="109"/>
      <c r="X88" s="118"/>
      <c r="Y88" s="118"/>
      <c r="Z88" s="118"/>
      <c r="AA88" s="118"/>
      <c r="AB88" s="123"/>
      <c r="AC88" s="125"/>
      <c r="AD88" s="34"/>
    </row>
    <row r="89" spans="2:30" ht="17.25" thickBot="1" x14ac:dyDescent="0.35">
      <c r="B89" s="109" t="str">
        <f>IF(ISBLANK(H87),"Bitte Energieart auswählen!",IF(H86="Nein",H87&amp;"verbrauch in kWh gem. letzter Jahresabrechnung",H87&amp;"verbrauch in kWh im Kalenderjahr "&amp;par_Jahr1))</f>
        <v>Bitte Energieart auswählen!</v>
      </c>
      <c r="C89" s="109"/>
      <c r="D89" s="109"/>
      <c r="E89" s="109"/>
      <c r="F89" s="109"/>
      <c r="G89" s="109"/>
      <c r="H89" s="265"/>
      <c r="I89" s="117" t="s">
        <v>13</v>
      </c>
      <c r="J89" s="33" t="s">
        <v>4</v>
      </c>
      <c r="K89" s="109" t="str">
        <f>IF(H86="Nein","Den Verbrauch entnehmen Sie bitte der letzten Jahresabrechnung, deren Abrechnungszeitraum zwischen " &amp; TEXT(EOMONTH(par_VZ_SEW_Start,0),"t. MMMM jjjj") &amp; " und " &amp;   TEXT(EOMONTH(par_VZ_SEW_Ende+1,0),"t. MMMM jjjj") &amp; " endet.","Bitte geben Sie den Verbrauch für den gesamten Zeitraum von " &amp; TEXT(par_VZ_SEW_Start,"t. MMMM jjjj") &amp; " bis " &amp;   TEXT(par_VZ_SEW_Ende,"t. MMMM jjjj") &amp; " an.")</f>
        <v>Bitte geben Sie den Verbrauch für den gesamten Zeitraum von 1. Jänner 2021 bis 31. Dezember 2021 an.</v>
      </c>
      <c r="L89" s="109"/>
      <c r="M89" s="109"/>
      <c r="N89" s="109"/>
      <c r="O89" s="109"/>
      <c r="P89" s="109"/>
      <c r="Q89" s="109"/>
      <c r="R89" s="109"/>
      <c r="S89" s="109"/>
      <c r="T89" s="109"/>
      <c r="U89" s="109"/>
      <c r="V89" s="109"/>
      <c r="W89" s="109"/>
      <c r="X89" s="118"/>
      <c r="Y89" s="118"/>
      <c r="Z89" s="118"/>
      <c r="AA89" s="118"/>
      <c r="AB89" s="123"/>
      <c r="AC89" s="125"/>
      <c r="AD89" s="34"/>
    </row>
    <row r="90" spans="2:30" s="25" customFormat="1" ht="15" x14ac:dyDescent="0.25">
      <c r="B90" s="99"/>
      <c r="C90" s="99"/>
      <c r="D90" s="99"/>
      <c r="E90" s="99"/>
      <c r="F90" s="99"/>
      <c r="G90" s="99"/>
      <c r="H90" s="99"/>
      <c r="I90" s="99"/>
      <c r="J90" s="99"/>
      <c r="K90" s="99"/>
      <c r="L90" s="99"/>
      <c r="M90" s="99"/>
      <c r="N90" s="99"/>
      <c r="O90" s="99"/>
      <c r="P90" s="99"/>
      <c r="Q90" s="99"/>
      <c r="R90" s="99"/>
      <c r="S90" s="99"/>
      <c r="T90" s="99"/>
      <c r="U90" s="99"/>
      <c r="V90" s="99"/>
      <c r="W90" s="99"/>
      <c r="X90" s="118"/>
      <c r="Y90" s="118"/>
      <c r="Z90" s="118"/>
      <c r="AA90" s="118"/>
      <c r="AB90" s="123"/>
      <c r="AC90" s="95"/>
    </row>
    <row r="91" spans="2:30" ht="19.5" thickBot="1" x14ac:dyDescent="0.45">
      <c r="B91" s="83" t="s">
        <v>6</v>
      </c>
      <c r="C91" s="109"/>
      <c r="D91" s="109"/>
      <c r="E91" s="109"/>
      <c r="F91" s="109"/>
      <c r="G91" s="109"/>
      <c r="H91" s="109"/>
      <c r="I91" s="109"/>
      <c r="J91" s="109"/>
      <c r="K91" s="109"/>
      <c r="L91" s="109"/>
      <c r="M91" s="109"/>
      <c r="N91" s="109"/>
      <c r="O91" s="109"/>
      <c r="P91" s="109"/>
      <c r="Q91" s="109"/>
      <c r="R91" s="109"/>
      <c r="S91" s="109"/>
      <c r="T91" s="109"/>
      <c r="U91" s="109"/>
      <c r="V91" s="109"/>
      <c r="W91" s="109"/>
      <c r="X91" s="118"/>
      <c r="Y91" s="124"/>
      <c r="Z91" s="118"/>
      <c r="AA91" s="118"/>
      <c r="AB91" s="123"/>
      <c r="AC91" s="125"/>
      <c r="AD91" s="34"/>
    </row>
    <row r="92" spans="2:30" ht="17.25" thickBot="1" x14ac:dyDescent="0.35">
      <c r="B92" s="109" t="s">
        <v>201</v>
      </c>
      <c r="C92" s="109"/>
      <c r="D92" s="109"/>
      <c r="E92" s="109"/>
      <c r="F92" s="109"/>
      <c r="G92" s="109"/>
      <c r="H92" s="262"/>
      <c r="I92" s="109"/>
      <c r="J92" s="33" t="s">
        <v>4</v>
      </c>
      <c r="K92" s="109" t="s">
        <v>7</v>
      </c>
      <c r="L92" s="109"/>
      <c r="M92" s="109"/>
      <c r="N92" s="109"/>
      <c r="O92" s="109"/>
      <c r="P92" s="109"/>
      <c r="Q92" s="109"/>
      <c r="R92" s="109"/>
      <c r="S92" s="109"/>
      <c r="T92" s="109"/>
      <c r="U92" s="109"/>
      <c r="V92" s="109"/>
      <c r="W92" s="118" t="str">
        <f>CONCATENATE(H92,"_",H94)</f>
        <v>_</v>
      </c>
      <c r="X92" s="118">
        <f>H93</f>
        <v>0</v>
      </c>
      <c r="Y92" s="118">
        <f>H94</f>
        <v>0</v>
      </c>
      <c r="Z92" s="118">
        <f>H95</f>
        <v>0</v>
      </c>
      <c r="AA92" s="118">
        <f>H96</f>
        <v>0</v>
      </c>
      <c r="AB92" s="123"/>
      <c r="AC92" s="125"/>
      <c r="AD92" s="34"/>
    </row>
    <row r="93" spans="2:30" ht="17.25" thickBot="1" x14ac:dyDescent="0.35">
      <c r="B93" s="109" t="s">
        <v>8</v>
      </c>
      <c r="C93" s="109"/>
      <c r="D93" s="109"/>
      <c r="E93" s="109"/>
      <c r="F93" s="109"/>
      <c r="G93" s="109"/>
      <c r="H93" s="262"/>
      <c r="I93" s="126"/>
      <c r="J93" s="33" t="s">
        <v>4</v>
      </c>
      <c r="K93" s="109" t="str">
        <f>"Ist ein Lastprofilzähler (Messgerät für Großkunden) oder ein genormtes intelligentes Messgerät mit monatlicher Abrechnung verfügbar, erfolgt die Zuschussberechnung gem. " &amp; par_SEW_Richtlinie &amp; "."</f>
        <v>Ist ein Lastprofilzähler (Messgerät für Großkunden) oder ein genormtes intelligentes Messgerät mit monatlicher Abrechnung verfügbar, erfolgt die Zuschussberechnung gem. Pkt. 9.1 bzw. Pkt. 9.4 der Richtlinie.</v>
      </c>
      <c r="L93" s="109"/>
      <c r="M93" s="109"/>
      <c r="N93" s="109"/>
      <c r="O93" s="109"/>
      <c r="P93" s="109"/>
      <c r="Q93" s="109"/>
      <c r="R93" s="109"/>
      <c r="S93" s="109"/>
      <c r="T93" s="109"/>
      <c r="U93" s="109"/>
      <c r="V93" s="109"/>
      <c r="W93" s="109"/>
      <c r="X93" s="118"/>
      <c r="Y93" s="118"/>
      <c r="Z93" s="118"/>
      <c r="AA93" s="118"/>
      <c r="AB93" s="123"/>
      <c r="AC93" s="125"/>
      <c r="AD93" s="34"/>
    </row>
    <row r="94" spans="2:30" ht="17.25" thickBot="1" x14ac:dyDescent="0.35">
      <c r="B94" s="109" t="s">
        <v>10</v>
      </c>
      <c r="C94" s="109"/>
      <c r="D94" s="109"/>
      <c r="E94" s="109"/>
      <c r="F94" s="109"/>
      <c r="G94" s="109"/>
      <c r="H94" s="263"/>
      <c r="I94" s="109"/>
      <c r="J94" s="33" t="s">
        <v>4</v>
      </c>
      <c r="K94" s="109" t="s">
        <v>11</v>
      </c>
      <c r="L94" s="109"/>
      <c r="M94" s="109"/>
      <c r="N94" s="109"/>
      <c r="O94" s="109"/>
      <c r="P94" s="109"/>
      <c r="Q94" s="109"/>
      <c r="R94" s="109"/>
      <c r="S94" s="109"/>
      <c r="T94" s="109"/>
      <c r="U94" s="109"/>
      <c r="V94" s="109"/>
      <c r="W94" s="109"/>
      <c r="X94" s="118"/>
      <c r="Y94" s="118"/>
      <c r="Z94" s="118"/>
      <c r="AA94" s="118"/>
      <c r="AB94" s="123"/>
      <c r="AC94" s="125"/>
      <c r="AD94" s="34"/>
    </row>
    <row r="95" spans="2:30" ht="17.25" thickBot="1" x14ac:dyDescent="0.35">
      <c r="B95" s="109" t="str">
        <f>IF(ISBLANK(H94),"Bitte Energieart auswählen!","Nettorechnungsbetrag ("&amp;H94&amp;")")</f>
        <v>Bitte Energieart auswählen!</v>
      </c>
      <c r="C95" s="109"/>
      <c r="D95" s="109"/>
      <c r="E95" s="109"/>
      <c r="F95" s="109"/>
      <c r="G95" s="109"/>
      <c r="H95" s="264"/>
      <c r="I95" s="117" t="s">
        <v>12</v>
      </c>
      <c r="J95" s="33" t="s">
        <v>4</v>
      </c>
      <c r="K95" s="109" t="str">
        <f>IF(ISBLANK(H94),"Bitte Energieart auswählen!",H94 &amp; "kosten exkl. Steuern, Abgaben, Netzentgelte, etc.")</f>
        <v>Bitte Energieart auswählen!</v>
      </c>
      <c r="L95" s="109"/>
      <c r="M95" s="109"/>
      <c r="N95" s="109"/>
      <c r="O95" s="109"/>
      <c r="P95" s="109"/>
      <c r="Q95" s="109"/>
      <c r="R95" s="109"/>
      <c r="S95" s="109"/>
      <c r="T95" s="109"/>
      <c r="U95" s="109"/>
      <c r="V95" s="109"/>
      <c r="W95" s="109"/>
      <c r="X95" s="118"/>
      <c r="Y95" s="118"/>
      <c r="Z95" s="118"/>
      <c r="AA95" s="118"/>
      <c r="AB95" s="123"/>
      <c r="AC95" s="125"/>
      <c r="AD95" s="34"/>
    </row>
    <row r="96" spans="2:30" ht="17.25" thickBot="1" x14ac:dyDescent="0.35">
      <c r="B96" s="109" t="str">
        <f>IF(ISBLANK(H94),"Bitte Energieart auswählen!",IF(H93="Nein",H94&amp;"verbrauch in kWh gem. letzter Jahresabrechnung",H94&amp;"verbrauch in kWh im Kalenderjahr "&amp;par_Jahr1))</f>
        <v>Bitte Energieart auswählen!</v>
      </c>
      <c r="C96" s="109"/>
      <c r="D96" s="109"/>
      <c r="E96" s="109"/>
      <c r="F96" s="109"/>
      <c r="G96" s="109"/>
      <c r="H96" s="265"/>
      <c r="I96" s="117" t="s">
        <v>13</v>
      </c>
      <c r="J96" s="33" t="s">
        <v>4</v>
      </c>
      <c r="K96" s="109" t="str">
        <f>IF(H93="Nein","Den Verbrauch entnehmen Sie bitte der letzten Jahresabrechnung, deren Abrechnungszeitraum zwischen " &amp; TEXT(EOMONTH(par_VZ_SEW_Start,0),"t. MMMM jjjj") &amp; " und " &amp;   TEXT(EOMONTH(par_VZ_SEW_Ende+1,0),"t. MMMM jjjj") &amp; " endet.","Bitte geben Sie den Verbrauch für den gesamten Zeitraum von " &amp; TEXT(par_VZ_SEW_Start,"t. MMMM jjjj") &amp; " bis " &amp;   TEXT(par_VZ_SEW_Ende,"t. MMMM jjjj") &amp; " an.")</f>
        <v>Bitte geben Sie den Verbrauch für den gesamten Zeitraum von 1. Jänner 2021 bis 31. Dezember 2021 an.</v>
      </c>
      <c r="L96" s="109"/>
      <c r="M96" s="109"/>
      <c r="N96" s="109"/>
      <c r="O96" s="109"/>
      <c r="P96" s="109"/>
      <c r="Q96" s="109"/>
      <c r="R96" s="109"/>
      <c r="S96" s="109"/>
      <c r="T96" s="109"/>
      <c r="U96" s="109"/>
      <c r="V96" s="109"/>
      <c r="W96" s="109"/>
      <c r="X96" s="118"/>
      <c r="Y96" s="118"/>
      <c r="Z96" s="118"/>
      <c r="AA96" s="118"/>
      <c r="AB96" s="123"/>
      <c r="AC96" s="125"/>
      <c r="AD96" s="34"/>
    </row>
    <row r="97" spans="2:30" s="25" customFormat="1" ht="15" x14ac:dyDescent="0.25">
      <c r="B97" s="99"/>
      <c r="C97" s="99"/>
      <c r="D97" s="99"/>
      <c r="E97" s="99"/>
      <c r="F97" s="99"/>
      <c r="G97" s="99"/>
      <c r="H97" s="99"/>
      <c r="I97" s="99"/>
      <c r="J97" s="99"/>
      <c r="K97" s="99"/>
      <c r="L97" s="99"/>
      <c r="M97" s="99"/>
      <c r="N97" s="99"/>
      <c r="O97" s="99"/>
      <c r="P97" s="99"/>
      <c r="Q97" s="99"/>
      <c r="R97" s="99"/>
      <c r="S97" s="99"/>
      <c r="T97" s="99"/>
      <c r="U97" s="99"/>
      <c r="V97" s="99"/>
      <c r="W97" s="99"/>
      <c r="X97" s="118"/>
      <c r="Y97" s="118"/>
      <c r="Z97" s="118"/>
      <c r="AA97" s="118"/>
      <c r="AB97" s="123"/>
      <c r="AC97" s="95"/>
    </row>
    <row r="98" spans="2:30" ht="19.5" thickBot="1" x14ac:dyDescent="0.45">
      <c r="B98" s="83" t="s">
        <v>6</v>
      </c>
      <c r="C98" s="109"/>
      <c r="D98" s="109"/>
      <c r="E98" s="109"/>
      <c r="F98" s="109"/>
      <c r="G98" s="109"/>
      <c r="H98" s="109"/>
      <c r="I98" s="109"/>
      <c r="J98" s="109"/>
      <c r="K98" s="109"/>
      <c r="L98" s="109"/>
      <c r="M98" s="109"/>
      <c r="N98" s="109"/>
      <c r="O98" s="109"/>
      <c r="P98" s="109"/>
      <c r="Q98" s="109"/>
      <c r="R98" s="109"/>
      <c r="S98" s="109"/>
      <c r="T98" s="109"/>
      <c r="U98" s="109"/>
      <c r="V98" s="109"/>
      <c r="W98" s="109"/>
      <c r="X98" s="118"/>
      <c r="Y98" s="124"/>
      <c r="Z98" s="118"/>
      <c r="AA98" s="118"/>
      <c r="AB98" s="123"/>
      <c r="AC98" s="125"/>
      <c r="AD98" s="34"/>
    </row>
    <row r="99" spans="2:30" ht="17.25" thickBot="1" x14ac:dyDescent="0.35">
      <c r="B99" s="109" t="s">
        <v>201</v>
      </c>
      <c r="C99" s="109"/>
      <c r="D99" s="109"/>
      <c r="E99" s="109"/>
      <c r="F99" s="109"/>
      <c r="G99" s="109"/>
      <c r="H99" s="262"/>
      <c r="I99" s="109"/>
      <c r="J99" s="33" t="s">
        <v>4</v>
      </c>
      <c r="K99" s="109" t="s">
        <v>7</v>
      </c>
      <c r="L99" s="109"/>
      <c r="M99" s="109"/>
      <c r="N99" s="109"/>
      <c r="O99" s="109"/>
      <c r="P99" s="109"/>
      <c r="Q99" s="109"/>
      <c r="R99" s="109"/>
      <c r="S99" s="109"/>
      <c r="T99" s="109"/>
      <c r="U99" s="109"/>
      <c r="V99" s="109"/>
      <c r="W99" s="118" t="str">
        <f>CONCATENATE(H99,"_",H101)</f>
        <v>_</v>
      </c>
      <c r="X99" s="118">
        <f>H100</f>
        <v>0</v>
      </c>
      <c r="Y99" s="118">
        <f>H101</f>
        <v>0</v>
      </c>
      <c r="Z99" s="118">
        <f>H102</f>
        <v>0</v>
      </c>
      <c r="AA99" s="118">
        <f>H103</f>
        <v>0</v>
      </c>
      <c r="AB99" s="123"/>
      <c r="AC99" s="125"/>
      <c r="AD99" s="34"/>
    </row>
    <row r="100" spans="2:30" ht="17.25" thickBot="1" x14ac:dyDescent="0.35">
      <c r="B100" s="109" t="s">
        <v>8</v>
      </c>
      <c r="C100" s="109"/>
      <c r="D100" s="109"/>
      <c r="E100" s="109"/>
      <c r="F100" s="109"/>
      <c r="G100" s="109"/>
      <c r="H100" s="262"/>
      <c r="I100" s="126"/>
      <c r="J100" s="33" t="s">
        <v>4</v>
      </c>
      <c r="K100" s="109" t="str">
        <f>"Ist ein Lastprofilzähler (Messgerät für Großkunden) oder ein genormtes intelligentes Messgerät mit monatlicher Abrechnung verfügbar, erfolgt die Zuschussberechnung gem. " &amp; par_SEW_Richtlinie &amp; "."</f>
        <v>Ist ein Lastprofilzähler (Messgerät für Großkunden) oder ein genormtes intelligentes Messgerät mit monatlicher Abrechnung verfügbar, erfolgt die Zuschussberechnung gem. Pkt. 9.1 bzw. Pkt. 9.4 der Richtlinie.</v>
      </c>
      <c r="L100" s="109"/>
      <c r="M100" s="109"/>
      <c r="N100" s="109"/>
      <c r="O100" s="109"/>
      <c r="P100" s="109"/>
      <c r="Q100" s="109"/>
      <c r="R100" s="109"/>
      <c r="S100" s="109"/>
      <c r="T100" s="109"/>
      <c r="U100" s="109"/>
      <c r="V100" s="109"/>
      <c r="W100" s="109"/>
      <c r="X100" s="118"/>
      <c r="Y100" s="118"/>
      <c r="Z100" s="118"/>
      <c r="AA100" s="118"/>
      <c r="AB100" s="123"/>
      <c r="AC100" s="125"/>
      <c r="AD100" s="34"/>
    </row>
    <row r="101" spans="2:30" ht="17.25" thickBot="1" x14ac:dyDescent="0.35">
      <c r="B101" s="109" t="s">
        <v>10</v>
      </c>
      <c r="C101" s="109"/>
      <c r="D101" s="109"/>
      <c r="E101" s="109"/>
      <c r="F101" s="109"/>
      <c r="G101" s="109"/>
      <c r="H101" s="263"/>
      <c r="I101" s="109"/>
      <c r="J101" s="33" t="s">
        <v>4</v>
      </c>
      <c r="K101" s="109" t="s">
        <v>11</v>
      </c>
      <c r="L101" s="109"/>
      <c r="M101" s="109"/>
      <c r="N101" s="109"/>
      <c r="O101" s="109"/>
      <c r="P101" s="109"/>
      <c r="Q101" s="109"/>
      <c r="R101" s="109"/>
      <c r="S101" s="109"/>
      <c r="T101" s="109"/>
      <c r="U101" s="109"/>
      <c r="V101" s="109"/>
      <c r="W101" s="109"/>
      <c r="X101" s="118"/>
      <c r="Y101" s="118"/>
      <c r="Z101" s="118"/>
      <c r="AA101" s="118"/>
      <c r="AB101" s="123"/>
      <c r="AC101" s="125"/>
      <c r="AD101" s="34"/>
    </row>
    <row r="102" spans="2:30" ht="17.25" thickBot="1" x14ac:dyDescent="0.35">
      <c r="B102" s="109" t="str">
        <f>IF(ISBLANK(H101),"Bitte Energieart auswählen!","Nettorechnungsbetrag ("&amp;H101&amp;")")</f>
        <v>Bitte Energieart auswählen!</v>
      </c>
      <c r="C102" s="109"/>
      <c r="D102" s="109"/>
      <c r="E102" s="109"/>
      <c r="F102" s="109"/>
      <c r="G102" s="109"/>
      <c r="H102" s="264"/>
      <c r="I102" s="117" t="s">
        <v>12</v>
      </c>
      <c r="J102" s="33" t="s">
        <v>4</v>
      </c>
      <c r="K102" s="109" t="str">
        <f>IF(ISBLANK(H101),"Bitte Energieart auswählen!",H101 &amp; "kosten exkl. Steuern, Abgaben, Netzentgelte, etc.")</f>
        <v>Bitte Energieart auswählen!</v>
      </c>
      <c r="L102" s="109"/>
      <c r="M102" s="109"/>
      <c r="N102" s="109"/>
      <c r="O102" s="109"/>
      <c r="P102" s="109"/>
      <c r="Q102" s="109"/>
      <c r="R102" s="109"/>
      <c r="S102" s="109"/>
      <c r="T102" s="109"/>
      <c r="U102" s="109"/>
      <c r="V102" s="109"/>
      <c r="W102" s="109"/>
      <c r="X102" s="118"/>
      <c r="Y102" s="118"/>
      <c r="Z102" s="118"/>
      <c r="AA102" s="118"/>
      <c r="AB102" s="123"/>
      <c r="AC102" s="125"/>
      <c r="AD102" s="34"/>
    </row>
    <row r="103" spans="2:30" ht="17.25" thickBot="1" x14ac:dyDescent="0.35">
      <c r="B103" s="109" t="str">
        <f>IF(ISBLANK(H101),"Bitte Energieart auswählen!",IF(H100="Nein",H101&amp;"verbrauch in kWh gem. letzter Jahresabrechnung",H101&amp;"verbrauch in kWh im Kalenderjahr "&amp;par_Jahr1))</f>
        <v>Bitte Energieart auswählen!</v>
      </c>
      <c r="C103" s="109"/>
      <c r="D103" s="109"/>
      <c r="E103" s="109"/>
      <c r="F103" s="109"/>
      <c r="G103" s="109"/>
      <c r="H103" s="265"/>
      <c r="I103" s="117" t="s">
        <v>13</v>
      </c>
      <c r="J103" s="33" t="s">
        <v>4</v>
      </c>
      <c r="K103" s="109" t="str">
        <f>IF(H100="Nein","Den Verbrauch entnehmen Sie bitte der letzten Jahresabrechnung, deren Abrechnungszeitraum zwischen " &amp; TEXT(EOMONTH(par_VZ_SEW_Start,0),"t. MMMM jjjj") &amp; " und " &amp;   TEXT(EOMONTH(par_VZ_SEW_Ende+1,0),"t. MMMM jjjj") &amp; " endet.","Bitte geben Sie den Verbrauch für den gesamten Zeitraum von " &amp; TEXT(par_VZ_SEW_Start,"t. MMMM jjjj") &amp; " bis " &amp;   TEXT(par_VZ_SEW_Ende,"t. MMMM jjjj") &amp; " an.")</f>
        <v>Bitte geben Sie den Verbrauch für den gesamten Zeitraum von 1. Jänner 2021 bis 31. Dezember 2021 an.</v>
      </c>
      <c r="L103" s="109"/>
      <c r="M103" s="109"/>
      <c r="N103" s="109"/>
      <c r="O103" s="109"/>
      <c r="P103" s="109"/>
      <c r="Q103" s="109"/>
      <c r="R103" s="109"/>
      <c r="S103" s="109"/>
      <c r="T103" s="109"/>
      <c r="U103" s="109"/>
      <c r="V103" s="109"/>
      <c r="W103" s="109"/>
      <c r="X103" s="118"/>
      <c r="Y103" s="118"/>
      <c r="Z103" s="118"/>
      <c r="AA103" s="118"/>
      <c r="AB103" s="123"/>
      <c r="AC103" s="125"/>
      <c r="AD103" s="34"/>
    </row>
    <row r="104" spans="2:30" s="25" customFormat="1" ht="15" x14ac:dyDescent="0.25">
      <c r="B104" s="99"/>
      <c r="C104" s="99"/>
      <c r="D104" s="99"/>
      <c r="E104" s="99"/>
      <c r="F104" s="99"/>
      <c r="G104" s="99"/>
      <c r="H104" s="99"/>
      <c r="I104" s="99"/>
      <c r="J104" s="99"/>
      <c r="K104" s="99"/>
      <c r="L104" s="99"/>
      <c r="M104" s="99"/>
      <c r="N104" s="99"/>
      <c r="O104" s="99"/>
      <c r="P104" s="99"/>
      <c r="Q104" s="99"/>
      <c r="R104" s="99"/>
      <c r="S104" s="99"/>
      <c r="T104" s="99"/>
      <c r="U104" s="99"/>
      <c r="V104" s="99"/>
      <c r="W104" s="99"/>
      <c r="X104" s="118"/>
      <c r="Y104" s="118"/>
      <c r="Z104" s="118"/>
      <c r="AA104" s="118"/>
      <c r="AB104" s="123"/>
      <c r="AC104" s="95"/>
    </row>
    <row r="105" spans="2:30" ht="19.5" thickBot="1" x14ac:dyDescent="0.45">
      <c r="B105" s="83" t="s">
        <v>6</v>
      </c>
      <c r="C105" s="109"/>
      <c r="D105" s="109"/>
      <c r="E105" s="109"/>
      <c r="F105" s="109"/>
      <c r="G105" s="109"/>
      <c r="H105" s="109"/>
      <c r="I105" s="109"/>
      <c r="J105" s="109"/>
      <c r="K105" s="109"/>
      <c r="L105" s="109"/>
      <c r="M105" s="109"/>
      <c r="N105" s="109"/>
      <c r="O105" s="109"/>
      <c r="P105" s="109"/>
      <c r="Q105" s="109"/>
      <c r="R105" s="109"/>
      <c r="S105" s="109"/>
      <c r="T105" s="109"/>
      <c r="U105" s="109"/>
      <c r="V105" s="109"/>
      <c r="W105" s="109"/>
      <c r="X105" s="118"/>
      <c r="Y105" s="124"/>
      <c r="Z105" s="118"/>
      <c r="AA105" s="118"/>
      <c r="AB105" s="123"/>
      <c r="AC105" s="125"/>
      <c r="AD105" s="34"/>
    </row>
    <row r="106" spans="2:30" ht="17.25" thickBot="1" x14ac:dyDescent="0.35">
      <c r="B106" s="109" t="s">
        <v>201</v>
      </c>
      <c r="C106" s="109"/>
      <c r="D106" s="109"/>
      <c r="E106" s="109"/>
      <c r="F106" s="109"/>
      <c r="G106" s="109"/>
      <c r="H106" s="262"/>
      <c r="I106" s="109"/>
      <c r="J106" s="33" t="s">
        <v>4</v>
      </c>
      <c r="K106" s="109" t="s">
        <v>7</v>
      </c>
      <c r="L106" s="109"/>
      <c r="M106" s="109"/>
      <c r="N106" s="109"/>
      <c r="O106" s="109"/>
      <c r="P106" s="109"/>
      <c r="Q106" s="109"/>
      <c r="R106" s="109"/>
      <c r="S106" s="109"/>
      <c r="T106" s="109"/>
      <c r="U106" s="109"/>
      <c r="V106" s="109"/>
      <c r="W106" s="118" t="str">
        <f>CONCATENATE(H106,"_",H108)</f>
        <v>_</v>
      </c>
      <c r="X106" s="118">
        <f>H107</f>
        <v>0</v>
      </c>
      <c r="Y106" s="118">
        <f>H108</f>
        <v>0</v>
      </c>
      <c r="Z106" s="118">
        <f>H109</f>
        <v>0</v>
      </c>
      <c r="AA106" s="118">
        <f>H110</f>
        <v>0</v>
      </c>
      <c r="AB106" s="123"/>
      <c r="AC106" s="125"/>
      <c r="AD106" s="34"/>
    </row>
    <row r="107" spans="2:30" ht="17.25" thickBot="1" x14ac:dyDescent="0.35">
      <c r="B107" s="109" t="s">
        <v>8</v>
      </c>
      <c r="C107" s="109"/>
      <c r="D107" s="109"/>
      <c r="E107" s="109"/>
      <c r="F107" s="109"/>
      <c r="G107" s="109"/>
      <c r="H107" s="262"/>
      <c r="I107" s="126"/>
      <c r="J107" s="33" t="s">
        <v>4</v>
      </c>
      <c r="K107" s="109" t="str">
        <f>"Ist ein Lastprofilzähler (Messgerät für Großkunden) oder ein genormtes intelligentes Messgerät mit monatlicher Abrechnung verfügbar, erfolgt die Zuschussberechnung gem. " &amp; par_SEW_Richtlinie &amp; "."</f>
        <v>Ist ein Lastprofilzähler (Messgerät für Großkunden) oder ein genormtes intelligentes Messgerät mit monatlicher Abrechnung verfügbar, erfolgt die Zuschussberechnung gem. Pkt. 9.1 bzw. Pkt. 9.4 der Richtlinie.</v>
      </c>
      <c r="L107" s="109"/>
      <c r="M107" s="109"/>
      <c r="N107" s="109"/>
      <c r="O107" s="109"/>
      <c r="P107" s="109"/>
      <c r="Q107" s="109"/>
      <c r="R107" s="109"/>
      <c r="S107" s="109"/>
      <c r="T107" s="109"/>
      <c r="U107" s="109"/>
      <c r="V107" s="109"/>
      <c r="W107" s="109"/>
      <c r="X107" s="118"/>
      <c r="Y107" s="118"/>
      <c r="Z107" s="118"/>
      <c r="AA107" s="118"/>
      <c r="AB107" s="123"/>
      <c r="AC107" s="125"/>
      <c r="AD107" s="34"/>
    </row>
    <row r="108" spans="2:30" ht="17.25" thickBot="1" x14ac:dyDescent="0.35">
      <c r="B108" s="109" t="s">
        <v>10</v>
      </c>
      <c r="C108" s="109"/>
      <c r="D108" s="109"/>
      <c r="E108" s="109"/>
      <c r="F108" s="109"/>
      <c r="G108" s="109"/>
      <c r="H108" s="263"/>
      <c r="I108" s="109"/>
      <c r="J108" s="33" t="s">
        <v>4</v>
      </c>
      <c r="K108" s="109" t="s">
        <v>11</v>
      </c>
      <c r="L108" s="109"/>
      <c r="M108" s="109"/>
      <c r="N108" s="109"/>
      <c r="O108" s="109"/>
      <c r="P108" s="109"/>
      <c r="Q108" s="109"/>
      <c r="R108" s="109"/>
      <c r="S108" s="109"/>
      <c r="T108" s="109"/>
      <c r="U108" s="109"/>
      <c r="V108" s="109"/>
      <c r="W108" s="109"/>
      <c r="X108" s="118"/>
      <c r="Y108" s="118"/>
      <c r="Z108" s="118"/>
      <c r="AA108" s="118"/>
      <c r="AB108" s="123"/>
      <c r="AC108" s="125"/>
      <c r="AD108" s="34"/>
    </row>
    <row r="109" spans="2:30" ht="17.25" thickBot="1" x14ac:dyDescent="0.35">
      <c r="B109" s="109" t="str">
        <f>IF(ISBLANK(H108),"Bitte Energieart auswählen!","Nettorechnungsbetrag ("&amp;H108&amp;")")</f>
        <v>Bitte Energieart auswählen!</v>
      </c>
      <c r="C109" s="109"/>
      <c r="D109" s="109"/>
      <c r="E109" s="109"/>
      <c r="F109" s="109"/>
      <c r="G109" s="109"/>
      <c r="H109" s="264"/>
      <c r="I109" s="117" t="s">
        <v>12</v>
      </c>
      <c r="J109" s="33" t="s">
        <v>4</v>
      </c>
      <c r="K109" s="109" t="str">
        <f>IF(ISBLANK(H108),"Bitte Energieart auswählen!",H108 &amp; "kosten exkl. Steuern, Abgaben, Netzentgelte, etc.")</f>
        <v>Bitte Energieart auswählen!</v>
      </c>
      <c r="L109" s="109"/>
      <c r="M109" s="109"/>
      <c r="N109" s="109"/>
      <c r="O109" s="109"/>
      <c r="P109" s="109"/>
      <c r="Q109" s="109"/>
      <c r="R109" s="109"/>
      <c r="S109" s="109"/>
      <c r="T109" s="109"/>
      <c r="U109" s="109"/>
      <c r="V109" s="109"/>
      <c r="W109" s="109"/>
      <c r="X109" s="118"/>
      <c r="Y109" s="118"/>
      <c r="Z109" s="118"/>
      <c r="AA109" s="118"/>
      <c r="AB109" s="123"/>
      <c r="AC109" s="125"/>
      <c r="AD109" s="34"/>
    </row>
    <row r="110" spans="2:30" ht="17.25" thickBot="1" x14ac:dyDescent="0.35">
      <c r="B110" s="109" t="str">
        <f>IF(ISBLANK(H108),"Bitte Energieart auswählen!",IF(H107="Nein",H108&amp;"verbrauch in kWh gem. letzter Jahresabrechnung",H108&amp;"verbrauch in kWh im Kalenderjahr "&amp;par_Jahr1))</f>
        <v>Bitte Energieart auswählen!</v>
      </c>
      <c r="C110" s="109"/>
      <c r="D110" s="109"/>
      <c r="E110" s="109"/>
      <c r="F110" s="109"/>
      <c r="G110" s="109"/>
      <c r="H110" s="265"/>
      <c r="I110" s="117" t="s">
        <v>13</v>
      </c>
      <c r="J110" s="33" t="s">
        <v>4</v>
      </c>
      <c r="K110" s="109" t="str">
        <f>IF(H107="Nein","Den Verbrauch entnehmen Sie bitte der letzten Jahresabrechnung, deren Abrechnungszeitraum zwischen " &amp; TEXT(EOMONTH(par_VZ_SEW_Start,0),"t. MMMM jjjj") &amp; " und " &amp;   TEXT(EOMONTH(par_VZ_SEW_Ende+1,0),"t. MMMM jjjj") &amp; " endet.","Bitte geben Sie den Verbrauch für den gesamten Zeitraum von " &amp; TEXT(par_VZ_SEW_Start,"t. MMMM jjjj") &amp; " bis " &amp;   TEXT(par_VZ_SEW_Ende,"t. MMMM jjjj") &amp; " an.")</f>
        <v>Bitte geben Sie den Verbrauch für den gesamten Zeitraum von 1. Jänner 2021 bis 31. Dezember 2021 an.</v>
      </c>
      <c r="L110" s="109"/>
      <c r="M110" s="109"/>
      <c r="N110" s="109"/>
      <c r="O110" s="109"/>
      <c r="P110" s="109"/>
      <c r="Q110" s="109"/>
      <c r="R110" s="109"/>
      <c r="S110" s="109"/>
      <c r="T110" s="109"/>
      <c r="U110" s="109"/>
      <c r="V110" s="109"/>
      <c r="W110" s="109"/>
      <c r="X110" s="118"/>
      <c r="Y110" s="118"/>
      <c r="Z110" s="118"/>
      <c r="AA110" s="118"/>
      <c r="AB110" s="123"/>
      <c r="AC110" s="125"/>
      <c r="AD110" s="34"/>
    </row>
    <row r="111" spans="2:30" s="25" customFormat="1" ht="15" x14ac:dyDescent="0.25">
      <c r="B111" s="99"/>
      <c r="C111" s="99"/>
      <c r="D111" s="99"/>
      <c r="E111" s="99"/>
      <c r="F111" s="99"/>
      <c r="G111" s="99"/>
      <c r="H111" s="99"/>
      <c r="I111" s="99"/>
      <c r="J111" s="99"/>
      <c r="K111" s="99"/>
      <c r="L111" s="99"/>
      <c r="M111" s="99"/>
      <c r="N111" s="99"/>
      <c r="O111" s="99"/>
      <c r="P111" s="99"/>
      <c r="Q111" s="99"/>
      <c r="R111" s="99"/>
      <c r="S111" s="99"/>
      <c r="T111" s="99"/>
      <c r="U111" s="99"/>
      <c r="V111" s="99"/>
      <c r="W111" s="99"/>
      <c r="X111" s="118"/>
      <c r="Y111" s="118"/>
      <c r="Z111" s="118"/>
      <c r="AA111" s="118"/>
      <c r="AB111" s="123"/>
      <c r="AC111" s="95"/>
    </row>
    <row r="112" spans="2:30" ht="19.5" thickBot="1" x14ac:dyDescent="0.45">
      <c r="B112" s="83" t="s">
        <v>6</v>
      </c>
      <c r="C112" s="109"/>
      <c r="D112" s="109"/>
      <c r="E112" s="109"/>
      <c r="F112" s="109"/>
      <c r="G112" s="109"/>
      <c r="H112" s="109"/>
      <c r="I112" s="109"/>
      <c r="J112" s="109"/>
      <c r="K112" s="109"/>
      <c r="L112" s="109"/>
      <c r="M112" s="109"/>
      <c r="N112" s="109"/>
      <c r="O112" s="109"/>
      <c r="P112" s="109"/>
      <c r="Q112" s="109"/>
      <c r="R112" s="109"/>
      <c r="S112" s="109"/>
      <c r="T112" s="109"/>
      <c r="U112" s="109"/>
      <c r="V112" s="109"/>
      <c r="W112" s="109"/>
      <c r="X112" s="118"/>
      <c r="Y112" s="124"/>
      <c r="Z112" s="118"/>
      <c r="AA112" s="118"/>
      <c r="AB112" s="123"/>
      <c r="AC112" s="125"/>
      <c r="AD112" s="34"/>
    </row>
    <row r="113" spans="2:30" ht="17.25" thickBot="1" x14ac:dyDescent="0.35">
      <c r="B113" s="109" t="s">
        <v>201</v>
      </c>
      <c r="C113" s="109"/>
      <c r="D113" s="109"/>
      <c r="E113" s="109"/>
      <c r="F113" s="109"/>
      <c r="G113" s="109"/>
      <c r="H113" s="262"/>
      <c r="I113" s="109"/>
      <c r="J113" s="33" t="s">
        <v>4</v>
      </c>
      <c r="K113" s="109" t="s">
        <v>7</v>
      </c>
      <c r="L113" s="109"/>
      <c r="M113" s="109"/>
      <c r="N113" s="109"/>
      <c r="O113" s="109"/>
      <c r="P113" s="109"/>
      <c r="Q113" s="109"/>
      <c r="R113" s="109"/>
      <c r="S113" s="109"/>
      <c r="T113" s="109"/>
      <c r="U113" s="109"/>
      <c r="V113" s="109"/>
      <c r="W113" s="118" t="str">
        <f>CONCATENATE(H113,"_",H115)</f>
        <v>_</v>
      </c>
      <c r="X113" s="118">
        <f>H114</f>
        <v>0</v>
      </c>
      <c r="Y113" s="118">
        <f>H115</f>
        <v>0</v>
      </c>
      <c r="Z113" s="118">
        <f>H116</f>
        <v>0</v>
      </c>
      <c r="AA113" s="118">
        <f>H117</f>
        <v>0</v>
      </c>
      <c r="AB113" s="123"/>
      <c r="AC113" s="125"/>
      <c r="AD113" s="34"/>
    </row>
    <row r="114" spans="2:30" ht="17.25" thickBot="1" x14ac:dyDescent="0.35">
      <c r="B114" s="109" t="s">
        <v>8</v>
      </c>
      <c r="C114" s="109"/>
      <c r="D114" s="109"/>
      <c r="E114" s="109"/>
      <c r="F114" s="109"/>
      <c r="G114" s="109"/>
      <c r="H114" s="262"/>
      <c r="I114" s="126"/>
      <c r="J114" s="33" t="s">
        <v>4</v>
      </c>
      <c r="K114" s="109" t="str">
        <f>"Ist ein Lastprofilzähler (Messgerät für Großkunden) oder ein genormtes intelligentes Messgerät mit monatlicher Abrechnung verfügbar, erfolgt die Zuschussberechnung gem. " &amp; par_SEW_Richtlinie &amp; "."</f>
        <v>Ist ein Lastprofilzähler (Messgerät für Großkunden) oder ein genormtes intelligentes Messgerät mit monatlicher Abrechnung verfügbar, erfolgt die Zuschussberechnung gem. Pkt. 9.1 bzw. Pkt. 9.4 der Richtlinie.</v>
      </c>
      <c r="L114" s="109"/>
      <c r="M114" s="109"/>
      <c r="N114" s="109"/>
      <c r="O114" s="109"/>
      <c r="P114" s="109"/>
      <c r="Q114" s="109"/>
      <c r="R114" s="109"/>
      <c r="S114" s="109"/>
      <c r="T114" s="109"/>
      <c r="U114" s="109"/>
      <c r="V114" s="109"/>
      <c r="W114" s="109"/>
      <c r="X114" s="118"/>
      <c r="Y114" s="118"/>
      <c r="Z114" s="118"/>
      <c r="AA114" s="118"/>
      <c r="AB114" s="123"/>
      <c r="AC114" s="125"/>
      <c r="AD114" s="34"/>
    </row>
    <row r="115" spans="2:30" ht="17.25" thickBot="1" x14ac:dyDescent="0.35">
      <c r="B115" s="109" t="s">
        <v>10</v>
      </c>
      <c r="C115" s="109"/>
      <c r="D115" s="109"/>
      <c r="E115" s="109"/>
      <c r="F115" s="109"/>
      <c r="G115" s="109"/>
      <c r="H115" s="263"/>
      <c r="I115" s="109"/>
      <c r="J115" s="33" t="s">
        <v>4</v>
      </c>
      <c r="K115" s="109" t="s">
        <v>11</v>
      </c>
      <c r="L115" s="109"/>
      <c r="M115" s="109"/>
      <c r="N115" s="109"/>
      <c r="O115" s="109"/>
      <c r="P115" s="109"/>
      <c r="Q115" s="109"/>
      <c r="R115" s="109"/>
      <c r="S115" s="109"/>
      <c r="T115" s="109"/>
      <c r="U115" s="109"/>
      <c r="V115" s="109"/>
      <c r="W115" s="109"/>
      <c r="X115" s="118"/>
      <c r="Y115" s="118"/>
      <c r="Z115" s="118"/>
      <c r="AA115" s="118"/>
      <c r="AB115" s="123"/>
      <c r="AC115" s="125"/>
      <c r="AD115" s="34"/>
    </row>
    <row r="116" spans="2:30" ht="17.25" thickBot="1" x14ac:dyDescent="0.35">
      <c r="B116" s="109" t="str">
        <f>IF(ISBLANK(H115),"Bitte Energieart auswählen!","Nettorechnungsbetrag ("&amp;H115&amp;")")</f>
        <v>Bitte Energieart auswählen!</v>
      </c>
      <c r="C116" s="109"/>
      <c r="D116" s="109"/>
      <c r="E116" s="109"/>
      <c r="F116" s="109"/>
      <c r="G116" s="109"/>
      <c r="H116" s="264"/>
      <c r="I116" s="117" t="s">
        <v>12</v>
      </c>
      <c r="J116" s="33" t="s">
        <v>4</v>
      </c>
      <c r="K116" s="109" t="str">
        <f>IF(ISBLANK(H115),"Bitte Energieart auswählen!",H115 &amp; "kosten exkl. Steuern, Abgaben, Netzentgelte, etc.")</f>
        <v>Bitte Energieart auswählen!</v>
      </c>
      <c r="L116" s="109"/>
      <c r="M116" s="109"/>
      <c r="N116" s="109"/>
      <c r="O116" s="109"/>
      <c r="P116" s="109"/>
      <c r="Q116" s="109"/>
      <c r="R116" s="109"/>
      <c r="S116" s="109"/>
      <c r="T116" s="109"/>
      <c r="U116" s="109"/>
      <c r="V116" s="109"/>
      <c r="W116" s="109"/>
      <c r="X116" s="118"/>
      <c r="Y116" s="118"/>
      <c r="Z116" s="118"/>
      <c r="AA116" s="118"/>
      <c r="AB116" s="123"/>
      <c r="AC116" s="125"/>
      <c r="AD116" s="34"/>
    </row>
    <row r="117" spans="2:30" ht="17.25" thickBot="1" x14ac:dyDescent="0.35">
      <c r="B117" s="109" t="str">
        <f>IF(ISBLANK(H115),"Bitte Energieart auswählen!",IF(H114="Nein",H115&amp;"verbrauch in kWh gem. letzter Jahresabrechnung",H115&amp;"verbrauch in kWh im Kalenderjahr "&amp;par_Jahr1))</f>
        <v>Bitte Energieart auswählen!</v>
      </c>
      <c r="C117" s="109"/>
      <c r="D117" s="109"/>
      <c r="E117" s="109"/>
      <c r="F117" s="109"/>
      <c r="G117" s="109"/>
      <c r="H117" s="265"/>
      <c r="I117" s="117" t="s">
        <v>13</v>
      </c>
      <c r="J117" s="33" t="s">
        <v>4</v>
      </c>
      <c r="K117" s="109" t="str">
        <f>IF(H114="Nein","Den Verbrauch entnehmen Sie bitte der letzten Jahresabrechnung, deren Abrechnungszeitraum zwischen " &amp; TEXT(EOMONTH(par_VZ_SEW_Start,0),"t. MMMM jjjj") &amp; " und " &amp;   TEXT(EOMONTH(par_VZ_SEW_Ende+1,0),"t. MMMM jjjj") &amp; " endet.","Bitte geben Sie den Verbrauch für den gesamten Zeitraum von " &amp; TEXT(par_VZ_SEW_Start,"t. MMMM jjjj") &amp; " bis " &amp;   TEXT(par_VZ_SEW_Ende,"t. MMMM jjjj") &amp; " an.")</f>
        <v>Bitte geben Sie den Verbrauch für den gesamten Zeitraum von 1. Jänner 2021 bis 31. Dezember 2021 an.</v>
      </c>
      <c r="L117" s="109"/>
      <c r="M117" s="109"/>
      <c r="N117" s="109"/>
      <c r="O117" s="109"/>
      <c r="P117" s="109"/>
      <c r="Q117" s="109"/>
      <c r="R117" s="109"/>
      <c r="S117" s="109"/>
      <c r="T117" s="109"/>
      <c r="U117" s="109"/>
      <c r="V117" s="109"/>
      <c r="W117" s="109"/>
      <c r="X117" s="118"/>
      <c r="Y117" s="118"/>
      <c r="Z117" s="118"/>
      <c r="AA117" s="118"/>
      <c r="AB117" s="123"/>
      <c r="AC117" s="125"/>
      <c r="AD117" s="34"/>
    </row>
    <row r="118" spans="2:30" s="25" customFormat="1" ht="15" x14ac:dyDescent="0.25">
      <c r="B118" s="99"/>
      <c r="C118" s="99"/>
      <c r="D118" s="99"/>
      <c r="E118" s="99"/>
      <c r="F118" s="99"/>
      <c r="G118" s="99"/>
      <c r="H118" s="99"/>
      <c r="I118" s="99"/>
      <c r="J118" s="99"/>
      <c r="K118" s="99"/>
      <c r="L118" s="99"/>
      <c r="M118" s="99"/>
      <c r="N118" s="99"/>
      <c r="O118" s="99"/>
      <c r="P118" s="99"/>
      <c r="Q118" s="99"/>
      <c r="R118" s="99"/>
      <c r="S118" s="99"/>
      <c r="T118" s="99"/>
      <c r="U118" s="99"/>
      <c r="V118" s="99"/>
      <c r="W118" s="99"/>
      <c r="X118" s="118"/>
      <c r="Y118" s="118"/>
      <c r="Z118" s="118"/>
      <c r="AA118" s="118"/>
      <c r="AB118" s="123"/>
      <c r="AC118" s="95"/>
    </row>
    <row r="119" spans="2:30" ht="19.5" thickBot="1" x14ac:dyDescent="0.45">
      <c r="B119" s="83" t="s">
        <v>6</v>
      </c>
      <c r="C119" s="109"/>
      <c r="D119" s="109"/>
      <c r="E119" s="109"/>
      <c r="F119" s="109"/>
      <c r="G119" s="109"/>
      <c r="H119" s="109"/>
      <c r="I119" s="109"/>
      <c r="J119" s="109"/>
      <c r="K119" s="109"/>
      <c r="L119" s="109"/>
      <c r="M119" s="109"/>
      <c r="N119" s="109"/>
      <c r="O119" s="109"/>
      <c r="P119" s="109"/>
      <c r="Q119" s="109"/>
      <c r="R119" s="109"/>
      <c r="S119" s="109"/>
      <c r="T119" s="109"/>
      <c r="U119" s="109"/>
      <c r="V119" s="109"/>
      <c r="W119" s="109"/>
      <c r="X119" s="118"/>
      <c r="Y119" s="124"/>
      <c r="Z119" s="118"/>
      <c r="AA119" s="118"/>
      <c r="AB119" s="123"/>
      <c r="AC119" s="125"/>
      <c r="AD119" s="34"/>
    </row>
    <row r="120" spans="2:30" ht="17.25" thickBot="1" x14ac:dyDescent="0.35">
      <c r="B120" s="109" t="s">
        <v>201</v>
      </c>
      <c r="C120" s="109"/>
      <c r="D120" s="109"/>
      <c r="E120" s="109"/>
      <c r="F120" s="109"/>
      <c r="G120" s="109"/>
      <c r="H120" s="262"/>
      <c r="I120" s="109"/>
      <c r="J120" s="33" t="s">
        <v>4</v>
      </c>
      <c r="K120" s="109" t="s">
        <v>7</v>
      </c>
      <c r="L120" s="109"/>
      <c r="M120" s="109"/>
      <c r="N120" s="109"/>
      <c r="O120" s="109"/>
      <c r="P120" s="109"/>
      <c r="Q120" s="109"/>
      <c r="R120" s="109"/>
      <c r="S120" s="109"/>
      <c r="T120" s="109"/>
      <c r="U120" s="109"/>
      <c r="V120" s="109"/>
      <c r="W120" s="118" t="str">
        <f>CONCATENATE(H120,"_",H122)</f>
        <v>_</v>
      </c>
      <c r="X120" s="118">
        <f>H121</f>
        <v>0</v>
      </c>
      <c r="Y120" s="118">
        <f>H122</f>
        <v>0</v>
      </c>
      <c r="Z120" s="118">
        <f>H123</f>
        <v>0</v>
      </c>
      <c r="AA120" s="118">
        <f>H124</f>
        <v>0</v>
      </c>
      <c r="AB120" s="123"/>
      <c r="AC120" s="125"/>
      <c r="AD120" s="34"/>
    </row>
    <row r="121" spans="2:30" ht="17.25" thickBot="1" x14ac:dyDescent="0.35">
      <c r="B121" s="109" t="s">
        <v>8</v>
      </c>
      <c r="C121" s="109"/>
      <c r="D121" s="109"/>
      <c r="E121" s="109"/>
      <c r="F121" s="109"/>
      <c r="G121" s="109"/>
      <c r="H121" s="262"/>
      <c r="I121" s="126"/>
      <c r="J121" s="33" t="s">
        <v>4</v>
      </c>
      <c r="K121" s="109" t="str">
        <f>"Ist ein Lastprofilzähler (Messgerät für Großkunden) oder ein genormtes intelligentes Messgerät mit monatlicher Abrechnung verfügbar, erfolgt die Zuschussberechnung gem. " &amp; par_SEW_Richtlinie &amp; "."</f>
        <v>Ist ein Lastprofilzähler (Messgerät für Großkunden) oder ein genormtes intelligentes Messgerät mit monatlicher Abrechnung verfügbar, erfolgt die Zuschussberechnung gem. Pkt. 9.1 bzw. Pkt. 9.4 der Richtlinie.</v>
      </c>
      <c r="L121" s="109"/>
      <c r="M121" s="109"/>
      <c r="N121" s="109"/>
      <c r="O121" s="109"/>
      <c r="P121" s="109"/>
      <c r="Q121" s="109"/>
      <c r="R121" s="109"/>
      <c r="S121" s="109"/>
      <c r="T121" s="109"/>
      <c r="U121" s="109"/>
      <c r="V121" s="109"/>
      <c r="W121" s="109"/>
      <c r="X121" s="118"/>
      <c r="Y121" s="118"/>
      <c r="Z121" s="118"/>
      <c r="AA121" s="118"/>
      <c r="AB121" s="123"/>
      <c r="AC121" s="125"/>
      <c r="AD121" s="34"/>
    </row>
    <row r="122" spans="2:30" ht="17.25" thickBot="1" x14ac:dyDescent="0.35">
      <c r="B122" s="109" t="s">
        <v>10</v>
      </c>
      <c r="C122" s="109"/>
      <c r="D122" s="109"/>
      <c r="E122" s="109"/>
      <c r="F122" s="109"/>
      <c r="G122" s="109"/>
      <c r="H122" s="263"/>
      <c r="I122" s="109"/>
      <c r="J122" s="33" t="s">
        <v>4</v>
      </c>
      <c r="K122" s="109" t="s">
        <v>11</v>
      </c>
      <c r="L122" s="109"/>
      <c r="M122" s="109"/>
      <c r="N122" s="109"/>
      <c r="O122" s="109"/>
      <c r="P122" s="109"/>
      <c r="Q122" s="109"/>
      <c r="R122" s="109"/>
      <c r="S122" s="109"/>
      <c r="T122" s="109"/>
      <c r="U122" s="109"/>
      <c r="V122" s="109"/>
      <c r="W122" s="109"/>
      <c r="X122" s="118"/>
      <c r="Y122" s="118"/>
      <c r="Z122" s="118"/>
      <c r="AA122" s="118"/>
      <c r="AB122" s="123"/>
      <c r="AC122" s="125"/>
      <c r="AD122" s="34"/>
    </row>
    <row r="123" spans="2:30" ht="17.25" thickBot="1" x14ac:dyDescent="0.35">
      <c r="B123" s="109" t="str">
        <f>IF(ISBLANK(H122),"Bitte Energieart auswählen!","Nettorechnungsbetrag ("&amp;H122&amp;")")</f>
        <v>Bitte Energieart auswählen!</v>
      </c>
      <c r="C123" s="109"/>
      <c r="D123" s="109"/>
      <c r="E123" s="109"/>
      <c r="F123" s="109"/>
      <c r="G123" s="109"/>
      <c r="H123" s="264"/>
      <c r="I123" s="117" t="s">
        <v>12</v>
      </c>
      <c r="J123" s="33" t="s">
        <v>4</v>
      </c>
      <c r="K123" s="109" t="str">
        <f>IF(ISBLANK(H122),"Bitte Energieart auswählen!",H122 &amp; "kosten exkl. Steuern, Abgaben, Netzentgelte, etc.")</f>
        <v>Bitte Energieart auswählen!</v>
      </c>
      <c r="L123" s="109"/>
      <c r="M123" s="109"/>
      <c r="N123" s="109"/>
      <c r="O123" s="109"/>
      <c r="P123" s="109"/>
      <c r="Q123" s="109"/>
      <c r="R123" s="109"/>
      <c r="S123" s="109"/>
      <c r="T123" s="109"/>
      <c r="U123" s="109"/>
      <c r="V123" s="109"/>
      <c r="W123" s="109"/>
      <c r="X123" s="118"/>
      <c r="Y123" s="118"/>
      <c r="Z123" s="118"/>
      <c r="AA123" s="118"/>
      <c r="AB123" s="123"/>
      <c r="AC123" s="125"/>
      <c r="AD123" s="34"/>
    </row>
    <row r="124" spans="2:30" ht="17.25" thickBot="1" x14ac:dyDescent="0.35">
      <c r="B124" s="109" t="str">
        <f>IF(ISBLANK(H122),"Bitte Energieart auswählen!",IF(H121="Nein",H122&amp;"verbrauch in kWh gem. letzter Jahresabrechnung",H122&amp;"verbrauch in kWh im Kalenderjahr "&amp;par_Jahr1))</f>
        <v>Bitte Energieart auswählen!</v>
      </c>
      <c r="C124" s="109"/>
      <c r="D124" s="109"/>
      <c r="E124" s="109"/>
      <c r="F124" s="109"/>
      <c r="G124" s="109"/>
      <c r="H124" s="265"/>
      <c r="I124" s="117" t="s">
        <v>13</v>
      </c>
      <c r="J124" s="33" t="s">
        <v>4</v>
      </c>
      <c r="K124" s="109" t="str">
        <f>IF(H121="Nein","Den Verbrauch entnehmen Sie bitte der letzten Jahresabrechnung, deren Abrechnungszeitraum zwischen " &amp; TEXT(EOMONTH(par_VZ_SEW_Start,0),"t. MMMM jjjj") &amp; " und " &amp;   TEXT(EOMONTH(par_VZ_SEW_Ende+1,0),"t. MMMM jjjj") &amp; " endet.","Bitte geben Sie den Verbrauch für den gesamten Zeitraum von " &amp; TEXT(par_VZ_SEW_Start,"t. MMMM jjjj") &amp; " bis " &amp;   TEXT(par_VZ_SEW_Ende,"t. MMMM jjjj") &amp; " an.")</f>
        <v>Bitte geben Sie den Verbrauch für den gesamten Zeitraum von 1. Jänner 2021 bis 31. Dezember 2021 an.</v>
      </c>
      <c r="L124" s="109"/>
      <c r="M124" s="109"/>
      <c r="N124" s="109"/>
      <c r="O124" s="109"/>
      <c r="P124" s="109"/>
      <c r="Q124" s="109"/>
      <c r="R124" s="109"/>
      <c r="S124" s="109"/>
      <c r="T124" s="109"/>
      <c r="U124" s="109"/>
      <c r="V124" s="109"/>
      <c r="W124" s="109"/>
      <c r="X124" s="118"/>
      <c r="Y124" s="118"/>
      <c r="Z124" s="118"/>
      <c r="AA124" s="118"/>
      <c r="AB124" s="123"/>
      <c r="AC124" s="125"/>
      <c r="AD124" s="34"/>
    </row>
    <row r="125" spans="2:30" s="25" customFormat="1" ht="15" x14ac:dyDescent="0.25">
      <c r="B125" s="99"/>
      <c r="C125" s="99"/>
      <c r="D125" s="99"/>
      <c r="E125" s="99"/>
      <c r="F125" s="99"/>
      <c r="G125" s="99"/>
      <c r="H125" s="99"/>
      <c r="I125" s="99"/>
      <c r="J125" s="99"/>
      <c r="K125" s="99"/>
      <c r="L125" s="99"/>
      <c r="M125" s="99"/>
      <c r="N125" s="99"/>
      <c r="O125" s="99"/>
      <c r="P125" s="99"/>
      <c r="Q125" s="99"/>
      <c r="R125" s="99"/>
      <c r="S125" s="99"/>
      <c r="T125" s="99"/>
      <c r="U125" s="99"/>
      <c r="V125" s="99"/>
      <c r="W125" s="99"/>
      <c r="X125" s="118"/>
      <c r="Y125" s="118"/>
      <c r="Z125" s="118"/>
      <c r="AA125" s="118"/>
      <c r="AB125" s="123"/>
      <c r="AC125" s="95"/>
    </row>
  </sheetData>
  <sheetProtection algorithmName="SHA-512" hashValue="y4SHyV7RYpg5tTkFRH8w1PjvVulaxb11Bl6qfALEcr7e2SOszjkqjPZYb/pG6bC6Ose8BLnIXl06SAN2BJ3EqQ==" saltValue="UdfQCzcEA1YKFA3o20U3JA==" spinCount="100000" sheet="1" objects="1" scenarios="1" formatCells="0"/>
  <mergeCells count="1">
    <mergeCell ref="E9:H9"/>
  </mergeCells>
  <conditionalFormatting sqref="E9:E11">
    <cfRule type="cellIs" dxfId="96" priority="16" operator="equal">
      <formula>"Keine Eingaben erforderlich"</formula>
    </cfRule>
    <cfRule type="cellIs" dxfId="95" priority="17" operator="equal">
      <formula>"Eingaben vorhanden"</formula>
    </cfRule>
    <cfRule type="cellIs" dxfId="94" priority="18" operator="equal">
      <formula>"Eingaben offen"</formula>
    </cfRule>
  </conditionalFormatting>
  <conditionalFormatting sqref="H6:H7">
    <cfRule type="cellIs" dxfId="93" priority="13" operator="equal">
      <formula>"Keine Eingaben erforderlich"</formula>
    </cfRule>
    <cfRule type="cellIs" dxfId="92" priority="14" operator="equal">
      <formula>"Eingaben vorhanden"</formula>
    </cfRule>
    <cfRule type="cellIs" dxfId="91" priority="15" operator="equal">
      <formula>"Eingaben offen"</formula>
    </cfRule>
  </conditionalFormatting>
  <conditionalFormatting sqref="H21:K21">
    <cfRule type="expression" dxfId="90" priority="1">
      <formula>SEARCH("JA",$AA21)</formula>
    </cfRule>
  </conditionalFormatting>
  <conditionalFormatting sqref="H26:K26">
    <cfRule type="expression" dxfId="89" priority="2">
      <formula>SEARCH("JA",$AA26)</formula>
    </cfRule>
  </conditionalFormatting>
  <conditionalFormatting sqref="H31:K31">
    <cfRule type="expression" dxfId="88" priority="3">
      <formula>SEARCH("JA",$AA31)</formula>
    </cfRule>
  </conditionalFormatting>
  <dataValidations count="6">
    <dataValidation type="textLength" errorStyle="information" operator="equal" allowBlank="1" showErrorMessage="1" errorTitle="Achtung" error="Bitte geben Sie nur die letzten vier Stellen Ihrer Zählpunktnummer an." sqref="V14:V15 V9:V11">
      <formula1>4</formula1>
    </dataValidation>
    <dataValidation type="whole" errorStyle="information" allowBlank="1" showErrorMessage="1" errorTitle="Achtung" error="Bitte geben Sie nur die letzten vier Stellen Ihrer Zählpunktnummer an." sqref="H36 H64 H43 H106 H113 H57 H50 H71 H78 H85 H92 H99 H120">
      <formula1>0</formula1>
      <formula2>9999</formula2>
    </dataValidation>
    <dataValidation type="decimal" errorStyle="information" operator="greaterThanOrEqual" allowBlank="1" showInputMessage="1" showErrorMessage="1" errorTitle="Bitte beachten Sie" error="Negative Werte sind unzulässig" sqref="H61 H40 H68 H47 H110 H117 H54 H75 H82 H89 H96 H103 H124">
      <formula1>0</formula1>
    </dataValidation>
    <dataValidation type="list" allowBlank="1" showInputMessage="1" showErrorMessage="1" sqref="H108 H66 H45 H38 H115 H59 H52 H73 H80 H87 H94 H101 H122">
      <formula1>Energieart</formula1>
    </dataValidation>
    <dataValidation type="decimal" errorStyle="information" operator="greaterThanOrEqual" allowBlank="1" showInputMessage="1" showErrorMessage="1" errorTitle="Bitte beachten Sie" error="Bitte erfassen Sie den kompletten Rechnungsbetrag (exkl. Steuern, Abgaben, Netzentgelte, etc.)." sqref="H39 H67 H46 H109 H116 H53 H60 H74 H81 H88 H95 H102 H123">
      <formula1>1</formula1>
    </dataValidation>
    <dataValidation type="list" operator="equal" allowBlank="1" showErrorMessage="1" errorTitle="Achtung" error="Bitte hier nur &quot;Ja&quot; oder &quot;Nein&quot; auswählen" sqref="H107 H37 H114 H44 H51 H58 H65 H72 H79 H86 H93 H100 H121">
      <formula1>Lastprofilzähler</formula1>
    </dataValidation>
  </dataValidations>
  <pageMargins left="0.70866141732283472" right="0.70866141732283472" top="0.78740157480314965" bottom="0.78740157480314965" header="0.31496062992125984" footer="0.31496062992125984"/>
  <pageSetup paperSize="9" scale="27" orientation="portrait" r:id="rId1"/>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Tabelle3"/>
  <dimension ref="A2:X137"/>
  <sheetViews>
    <sheetView showGridLines="0" zoomScale="85" zoomScaleNormal="85" zoomScaleSheetLayoutView="25" workbookViewId="0"/>
  </sheetViews>
  <sheetFormatPr baseColWidth="10" defaultColWidth="10.7109375" defaultRowHeight="16.5" x14ac:dyDescent="0.3"/>
  <cols>
    <col min="1" max="1" width="2.42578125" style="25" customWidth="1"/>
    <col min="2" max="2" width="56.7109375" style="25" customWidth="1"/>
    <col min="3" max="5" width="10.7109375" style="25"/>
    <col min="6" max="6" width="17.85546875" style="25" customWidth="1"/>
    <col min="7" max="7" width="15.42578125" style="41" customWidth="1"/>
    <col min="8" max="8" width="19.28515625" style="25" customWidth="1"/>
    <col min="9" max="9" width="11.42578125" style="25" customWidth="1"/>
    <col min="10" max="11" width="10.7109375" style="25"/>
    <col min="12" max="12" width="11.42578125" style="25" customWidth="1"/>
    <col min="13" max="14" width="10.7109375" style="25"/>
    <col min="15" max="15" width="19.42578125" style="25" customWidth="1"/>
    <col min="16" max="20" width="10.7109375" style="25"/>
    <col min="21" max="21" width="16.7109375" style="25" customWidth="1"/>
    <col min="22" max="16384" width="10.7109375" style="25"/>
  </cols>
  <sheetData>
    <row r="2" spans="1:22" ht="27" x14ac:dyDescent="0.5">
      <c r="B2" s="27" t="s">
        <v>0</v>
      </c>
    </row>
    <row r="3" spans="1:22" ht="18.75" x14ac:dyDescent="0.3">
      <c r="B3" s="28" t="str">
        <f>"In vier Schritten zur Berechnung Ihres möglichen Zuschusses in der " &amp; par_EZ_Stufe &amp; " (für Unternehmen mit Energie-, Strom- und Treibstoffbeschaffungskosten bis EUR " &amp; par_EZ_Grenze_txt &amp; ".)"</f>
        <v>In vier Schritten zur Berechnung Ihres möglichen Zuschusses in der Basisstufe (für Unternehmen mit Energie-, Strom- und Treibstoffbeschaffungskosten bis EUR 80 Mio.)</v>
      </c>
    </row>
    <row r="6" spans="1:22" s="34" customFormat="1" ht="18.75" x14ac:dyDescent="0.4">
      <c r="A6" s="25"/>
      <c r="B6" s="36" t="s">
        <v>19</v>
      </c>
      <c r="C6" s="32"/>
      <c r="D6" s="32"/>
      <c r="E6" s="32"/>
      <c r="F6" s="32"/>
      <c r="G6" s="42"/>
      <c r="H6" s="32"/>
      <c r="I6" s="32"/>
      <c r="J6" s="32"/>
      <c r="K6" s="32"/>
      <c r="L6" s="32"/>
      <c r="M6" s="32"/>
      <c r="N6" s="32"/>
      <c r="O6" s="32"/>
      <c r="P6" s="32"/>
      <c r="Q6" s="32"/>
      <c r="R6" s="32"/>
      <c r="S6" s="32"/>
      <c r="T6" s="32"/>
      <c r="U6" s="32"/>
      <c r="V6" s="32"/>
    </row>
    <row r="7" spans="1:22" s="34" customFormat="1" x14ac:dyDescent="0.3">
      <c r="A7" s="25"/>
      <c r="B7" s="32"/>
      <c r="C7" s="32"/>
      <c r="D7" s="32"/>
      <c r="E7" s="32"/>
      <c r="F7" s="32"/>
      <c r="G7" s="42"/>
      <c r="H7" s="32"/>
      <c r="I7" s="32"/>
      <c r="J7" s="32"/>
      <c r="K7" s="32"/>
      <c r="L7" s="32"/>
      <c r="M7" s="32"/>
      <c r="N7" s="32"/>
      <c r="O7" s="32"/>
      <c r="P7" s="32"/>
      <c r="Q7" s="32"/>
      <c r="R7" s="32"/>
      <c r="S7" s="32"/>
      <c r="T7" s="32"/>
      <c r="U7" s="32"/>
      <c r="V7" s="32"/>
    </row>
    <row r="8" spans="1:22" s="34" customFormat="1" x14ac:dyDescent="0.3">
      <c r="A8" s="25"/>
      <c r="B8" s="109" t="str">
        <f>"Im zweiten Schritt ersuchen wir Sie um Angaben zum Arbeitspreis und zum Energieverbrauch im Förderungszeitraum. Der Förderungszeitraum erstreckt sich von "&amp;TEXT(par_FZ_SEW_Start,"t. MMMM")&amp;" bis "&amp;TEXT(par_FZ_SEW_Ende,"t. MMMM jjjj"&amp;".")</f>
        <v>Im zweiten Schritt ersuchen wir Sie um Angaben zum Arbeitspreis und zum Energieverbrauch im Förderungszeitraum. Der Förderungszeitraum erstreckt sich von 1. Jänner bis 30. Juni 2023.</v>
      </c>
      <c r="C8" s="109"/>
      <c r="D8" s="109"/>
      <c r="E8" s="109"/>
      <c r="F8" s="109"/>
      <c r="G8" s="133"/>
      <c r="H8" s="109"/>
      <c r="I8" s="109"/>
      <c r="J8" s="109"/>
      <c r="K8" s="109"/>
      <c r="L8" s="32"/>
      <c r="M8" s="32"/>
      <c r="N8" s="32"/>
      <c r="O8" s="32"/>
      <c r="P8" s="32"/>
      <c r="Q8" s="32"/>
      <c r="R8" s="32"/>
      <c r="S8" s="32"/>
      <c r="T8" s="43"/>
      <c r="U8" s="32"/>
      <c r="V8" s="32"/>
    </row>
    <row r="9" spans="1:22" s="34" customFormat="1" x14ac:dyDescent="0.3">
      <c r="A9" s="25"/>
      <c r="B9" s="109" t="s">
        <v>200</v>
      </c>
      <c r="C9" s="109"/>
      <c r="D9" s="109"/>
      <c r="E9" s="109"/>
      <c r="F9" s="109"/>
      <c r="G9" s="133"/>
      <c r="H9" s="109"/>
      <c r="I9" s="109"/>
      <c r="J9" s="109"/>
      <c r="K9" s="109"/>
      <c r="L9" s="32"/>
      <c r="M9" s="32"/>
      <c r="N9" s="32"/>
      <c r="O9" s="32"/>
      <c r="P9" s="32"/>
      <c r="Q9" s="32"/>
      <c r="R9" s="32"/>
      <c r="S9" s="32"/>
      <c r="T9" s="43"/>
      <c r="U9" s="32"/>
      <c r="V9" s="32"/>
    </row>
    <row r="10" spans="1:22" s="34" customFormat="1" ht="17.25" thickBot="1" x14ac:dyDescent="0.35">
      <c r="A10" s="25"/>
      <c r="B10" s="37"/>
      <c r="C10" s="37"/>
      <c r="D10" s="37"/>
      <c r="E10" s="37"/>
      <c r="F10" s="37"/>
      <c r="G10" s="44"/>
      <c r="H10" s="37"/>
      <c r="I10" s="37"/>
      <c r="J10" s="37"/>
      <c r="K10" s="37"/>
      <c r="L10" s="37"/>
      <c r="M10" s="37"/>
      <c r="N10" s="37"/>
      <c r="O10" s="37"/>
      <c r="P10" s="37"/>
      <c r="Q10" s="37"/>
      <c r="R10" s="37"/>
      <c r="S10" s="37"/>
      <c r="T10" s="37"/>
      <c r="U10" s="37"/>
      <c r="V10" s="37"/>
    </row>
    <row r="11" spans="1:22" s="34" customFormat="1" x14ac:dyDescent="0.3">
      <c r="A11" s="25"/>
      <c r="B11" s="32"/>
      <c r="C11" s="32"/>
      <c r="D11" s="32"/>
      <c r="E11" s="32"/>
      <c r="F11" s="32"/>
      <c r="G11" s="42"/>
      <c r="H11" s="32"/>
      <c r="I11" s="32"/>
      <c r="J11" s="32"/>
      <c r="K11" s="32"/>
      <c r="L11" s="32"/>
      <c r="M11" s="32"/>
      <c r="N11" s="32"/>
      <c r="O11" s="32"/>
      <c r="P11" s="32"/>
      <c r="Q11" s="32"/>
      <c r="R11" s="32"/>
      <c r="S11" s="32"/>
      <c r="T11" s="32"/>
      <c r="U11" s="32"/>
      <c r="V11" s="32"/>
    </row>
    <row r="12" spans="1:22" s="34" customFormat="1" ht="18.75" x14ac:dyDescent="0.4">
      <c r="A12" s="25"/>
      <c r="B12" s="36" t="s">
        <v>15</v>
      </c>
      <c r="C12" s="32"/>
      <c r="D12" s="32"/>
      <c r="E12" s="32"/>
      <c r="F12" s="53"/>
      <c r="G12" s="54"/>
      <c r="H12" s="53"/>
      <c r="I12" s="32"/>
      <c r="J12" s="32"/>
      <c r="K12" s="32"/>
      <c r="L12" s="32"/>
      <c r="M12" s="32"/>
      <c r="N12" s="32"/>
      <c r="O12" s="54"/>
      <c r="P12" s="42"/>
      <c r="Q12" s="55"/>
      <c r="R12" s="42"/>
      <c r="S12" s="42"/>
      <c r="T12" s="42"/>
      <c r="U12" s="42"/>
      <c r="V12" s="32"/>
    </row>
    <row r="13" spans="1:22" s="34" customFormat="1" x14ac:dyDescent="0.3">
      <c r="A13" s="25"/>
      <c r="B13" s="109" t="s">
        <v>22</v>
      </c>
      <c r="C13" s="32"/>
      <c r="D13" s="32"/>
      <c r="E13" s="32"/>
      <c r="F13" s="53"/>
      <c r="G13" s="54"/>
      <c r="H13" s="38">
        <f>SUMIFS(H:H,B:B,"Aliquoter " &amp; B12 &amp; "verbrauch in kWh " &amp; par_FZ_Text)</f>
        <v>0</v>
      </c>
      <c r="I13" s="39" t="s">
        <v>13</v>
      </c>
      <c r="J13" s="33" t="s">
        <v>4</v>
      </c>
      <c r="K13" s="109" t="s">
        <v>23</v>
      </c>
      <c r="L13" s="120"/>
      <c r="M13" s="110"/>
      <c r="N13" s="32"/>
      <c r="O13" s="54"/>
      <c r="P13" s="42"/>
      <c r="Q13" s="55"/>
      <c r="R13" s="42"/>
      <c r="S13" s="42"/>
      <c r="T13" s="42"/>
      <c r="U13" s="42"/>
      <c r="V13" s="32"/>
    </row>
    <row r="14" spans="1:22" s="34" customFormat="1" x14ac:dyDescent="0.3">
      <c r="A14" s="25"/>
      <c r="B14" s="109" t="s">
        <v>24</v>
      </c>
      <c r="C14" s="32"/>
      <c r="D14" s="32"/>
      <c r="E14" s="32"/>
      <c r="F14" s="53"/>
      <c r="G14" s="54"/>
      <c r="H14" s="38">
        <f>SUMIFS(H:H,B:B,B12 &amp; "verbrauch in kWh " &amp; par_FZ_Text)</f>
        <v>0</v>
      </c>
      <c r="I14" s="39" t="s">
        <v>13</v>
      </c>
      <c r="J14" s="32"/>
      <c r="K14" s="109"/>
      <c r="L14" s="120"/>
      <c r="M14" s="109"/>
      <c r="N14" s="32"/>
      <c r="O14" s="54"/>
      <c r="P14" s="42"/>
      <c r="Q14" s="55"/>
      <c r="R14" s="42"/>
      <c r="S14" s="42"/>
      <c r="T14" s="42"/>
      <c r="U14" s="42"/>
      <c r="V14" s="32"/>
    </row>
    <row r="15" spans="1:22" s="34" customFormat="1" x14ac:dyDescent="0.3">
      <c r="A15" s="25"/>
      <c r="B15" s="109" t="s">
        <v>25</v>
      </c>
      <c r="C15" s="32"/>
      <c r="D15" s="32"/>
      <c r="E15" s="32"/>
      <c r="F15" s="32"/>
      <c r="G15" s="42"/>
      <c r="H15" s="38">
        <f>SUM(H13:H14)</f>
        <v>0</v>
      </c>
      <c r="I15" s="39" t="s">
        <v>13</v>
      </c>
      <c r="J15" s="32"/>
      <c r="K15" s="109"/>
      <c r="L15" s="120"/>
      <c r="M15" s="109"/>
      <c r="N15" s="32"/>
      <c r="O15" s="42"/>
      <c r="P15" s="42"/>
      <c r="Q15" s="42"/>
      <c r="R15" s="42"/>
      <c r="S15" s="42"/>
      <c r="T15" s="42"/>
      <c r="U15" s="42"/>
      <c r="V15" s="32"/>
    </row>
    <row r="16" spans="1:22" s="34" customFormat="1" x14ac:dyDescent="0.3">
      <c r="A16" s="25"/>
      <c r="B16" s="109"/>
      <c r="C16" s="32"/>
      <c r="D16" s="32"/>
      <c r="E16" s="32"/>
      <c r="F16" s="32"/>
      <c r="G16" s="42"/>
      <c r="H16" s="38"/>
      <c r="I16" s="39"/>
      <c r="J16" s="32"/>
      <c r="K16" s="109"/>
      <c r="L16" s="120"/>
      <c r="M16" s="109"/>
      <c r="N16" s="32"/>
      <c r="O16" s="32"/>
      <c r="P16" s="32"/>
      <c r="Q16" s="32"/>
      <c r="R16" s="32"/>
      <c r="S16" s="32"/>
      <c r="T16" s="32"/>
      <c r="U16" s="32"/>
      <c r="V16" s="32"/>
    </row>
    <row r="17" spans="1:24" s="34" customFormat="1" x14ac:dyDescent="0.3">
      <c r="A17" s="25"/>
      <c r="B17" s="109" t="s">
        <v>26</v>
      </c>
      <c r="C17" s="32"/>
      <c r="D17" s="32"/>
      <c r="E17" s="32"/>
      <c r="F17" s="32"/>
      <c r="G17" s="42"/>
      <c r="H17" s="56">
        <f>IFERROR(ROUND(SUMIFS(G:G,B:B,"Arbeitspreis pro kWh " &amp; B12 &amp; " in EUR")/H15,4),0)</f>
        <v>0</v>
      </c>
      <c r="I17" s="57" t="s">
        <v>12</v>
      </c>
      <c r="J17" s="33" t="s">
        <v>4</v>
      </c>
      <c r="K17" s="109" t="s">
        <v>27</v>
      </c>
      <c r="L17" s="134"/>
      <c r="M17" s="110"/>
      <c r="N17" s="32"/>
      <c r="O17" s="32"/>
      <c r="P17" s="32"/>
      <c r="Q17" s="32"/>
      <c r="R17" s="32"/>
      <c r="S17" s="32"/>
      <c r="T17" s="58"/>
      <c r="U17" s="32"/>
      <c r="V17" s="65" t="str">
        <f>IF(H17&gt;=1,"JA","NEIN")</f>
        <v>NEIN</v>
      </c>
    </row>
    <row r="18" spans="1:24" s="34" customFormat="1" x14ac:dyDescent="0.3">
      <c r="A18" s="25"/>
      <c r="B18" s="109" t="s">
        <v>28</v>
      </c>
      <c r="C18" s="32"/>
      <c r="D18" s="32"/>
      <c r="E18" s="32"/>
      <c r="F18" s="32"/>
      <c r="G18" s="42"/>
      <c r="H18" s="40">
        <f>ROUND('1 - Strom Erdgas Wärme Vgl'!$H$21,4)</f>
        <v>0</v>
      </c>
      <c r="I18" s="57" t="s">
        <v>12</v>
      </c>
      <c r="J18" s="33"/>
      <c r="K18" s="109"/>
      <c r="L18" s="134"/>
      <c r="M18" s="110"/>
      <c r="N18" s="32"/>
      <c r="O18" s="32"/>
      <c r="P18" s="32"/>
      <c r="Q18" s="32"/>
      <c r="R18" s="32"/>
      <c r="S18" s="32"/>
      <c r="T18" s="32"/>
      <c r="U18" s="32"/>
      <c r="V18" s="65" t="str">
        <f>'1 - Strom Erdgas Wärme Vgl'!AA21</f>
        <v>NEIN</v>
      </c>
    </row>
    <row r="19" spans="1:24" s="34" customFormat="1" x14ac:dyDescent="0.3">
      <c r="A19" s="25"/>
      <c r="B19" s="109" t="s">
        <v>29</v>
      </c>
      <c r="C19" s="32"/>
      <c r="D19" s="32"/>
      <c r="E19" s="32"/>
      <c r="F19" s="32"/>
      <c r="G19" s="42"/>
      <c r="H19" s="40">
        <f>IF(H18=0,0,MAX(IFERROR(ROUND(H17-H18,4),0),0))</f>
        <v>0</v>
      </c>
      <c r="I19" s="57" t="s">
        <v>12</v>
      </c>
      <c r="J19" s="131" t="s">
        <v>202</v>
      </c>
      <c r="K19" s="132" t="s">
        <v>205</v>
      </c>
      <c r="L19" s="134"/>
      <c r="M19" s="110"/>
      <c r="N19" s="32"/>
      <c r="O19" s="32"/>
      <c r="P19" s="32"/>
      <c r="Q19" s="32"/>
      <c r="R19" s="32"/>
      <c r="S19" s="32"/>
      <c r="T19" s="32"/>
      <c r="U19" s="32"/>
      <c r="V19" s="65"/>
    </row>
    <row r="20" spans="1:24" s="34" customFormat="1" x14ac:dyDescent="0.3">
      <c r="A20" s="25"/>
      <c r="B20" s="32"/>
      <c r="C20" s="32"/>
      <c r="D20" s="32"/>
      <c r="E20" s="32"/>
      <c r="F20" s="32"/>
      <c r="G20" s="42"/>
      <c r="H20" s="40"/>
      <c r="I20" s="57"/>
      <c r="J20" s="33"/>
      <c r="K20" s="109"/>
      <c r="L20" s="134"/>
      <c r="M20" s="110"/>
      <c r="N20" s="32"/>
      <c r="O20" s="32"/>
      <c r="P20" s="32"/>
      <c r="Q20" s="32"/>
      <c r="R20" s="32"/>
      <c r="S20" s="32"/>
      <c r="T20" s="32"/>
      <c r="U20" s="32"/>
      <c r="V20" s="65"/>
    </row>
    <row r="21" spans="1:24" s="34" customFormat="1" ht="18.75" x14ac:dyDescent="0.4">
      <c r="A21" s="25"/>
      <c r="B21" s="36" t="s">
        <v>18</v>
      </c>
      <c r="C21" s="32"/>
      <c r="D21" s="32"/>
      <c r="E21" s="32"/>
      <c r="F21" s="53"/>
      <c r="G21" s="54"/>
      <c r="H21" s="32"/>
      <c r="I21" s="32"/>
      <c r="J21" s="32"/>
      <c r="K21" s="109"/>
      <c r="L21" s="109"/>
      <c r="M21" s="109"/>
      <c r="N21" s="32"/>
      <c r="O21" s="32"/>
      <c r="P21" s="32"/>
      <c r="Q21" s="32"/>
      <c r="R21" s="32"/>
      <c r="S21" s="32"/>
      <c r="T21" s="32"/>
      <c r="U21" s="32"/>
      <c r="V21" s="65"/>
    </row>
    <row r="22" spans="1:24" s="34" customFormat="1" x14ac:dyDescent="0.3">
      <c r="A22" s="25"/>
      <c r="B22" s="109" t="s">
        <v>30</v>
      </c>
      <c r="C22" s="32"/>
      <c r="D22" s="32"/>
      <c r="E22" s="32"/>
      <c r="F22" s="53"/>
      <c r="G22" s="54"/>
      <c r="H22" s="38">
        <f>SUMIFS(H:H,B:B,"Aliquoter " &amp; B21 &amp; "verbrauch in kWh " &amp; par_FZ_Text)</f>
        <v>0</v>
      </c>
      <c r="I22" s="39" t="s">
        <v>13</v>
      </c>
      <c r="J22" s="33" t="s">
        <v>4</v>
      </c>
      <c r="K22" s="109" t="s">
        <v>31</v>
      </c>
      <c r="L22" s="120"/>
      <c r="M22" s="110"/>
      <c r="N22" s="32"/>
      <c r="O22" s="32"/>
      <c r="P22" s="32"/>
      <c r="Q22" s="32"/>
      <c r="R22" s="32"/>
      <c r="S22" s="32"/>
      <c r="T22" s="32"/>
      <c r="U22" s="32"/>
      <c r="V22" s="65"/>
    </row>
    <row r="23" spans="1:24" s="34" customFormat="1" x14ac:dyDescent="0.3">
      <c r="A23" s="25"/>
      <c r="B23" s="109" t="s">
        <v>32</v>
      </c>
      <c r="C23" s="32"/>
      <c r="D23" s="32"/>
      <c r="E23" s="32"/>
      <c r="F23" s="53"/>
      <c r="G23" s="54"/>
      <c r="H23" s="38">
        <f>SUMIFS(H:H,B:B,B21 &amp; "verbrauch in kWh " &amp; par_FZ_Text)</f>
        <v>0</v>
      </c>
      <c r="I23" s="39" t="s">
        <v>13</v>
      </c>
      <c r="J23" s="32"/>
      <c r="K23" s="109"/>
      <c r="L23" s="120"/>
      <c r="M23" s="109"/>
      <c r="N23" s="32"/>
      <c r="O23" s="32"/>
      <c r="P23" s="32"/>
      <c r="Q23" s="32"/>
      <c r="R23" s="32"/>
      <c r="S23" s="32"/>
      <c r="T23" s="32"/>
      <c r="U23" s="32"/>
      <c r="V23" s="65"/>
    </row>
    <row r="24" spans="1:24" s="34" customFormat="1" x14ac:dyDescent="0.3">
      <c r="A24" s="25"/>
      <c r="B24" s="109" t="s">
        <v>33</v>
      </c>
      <c r="C24" s="32"/>
      <c r="D24" s="32"/>
      <c r="E24" s="32"/>
      <c r="F24" s="32"/>
      <c r="G24" s="42"/>
      <c r="H24" s="38">
        <f>SUM(H22:H23)</f>
        <v>0</v>
      </c>
      <c r="I24" s="39" t="s">
        <v>13</v>
      </c>
      <c r="J24" s="32"/>
      <c r="K24" s="109"/>
      <c r="L24" s="120"/>
      <c r="M24" s="109"/>
      <c r="N24" s="32"/>
      <c r="O24" s="32"/>
      <c r="P24" s="32"/>
      <c r="Q24" s="32"/>
      <c r="R24" s="32"/>
      <c r="S24" s="32"/>
      <c r="T24" s="32"/>
      <c r="U24" s="32"/>
      <c r="V24" s="65"/>
    </row>
    <row r="25" spans="1:24" s="34" customFormat="1" x14ac:dyDescent="0.3">
      <c r="A25" s="25"/>
      <c r="B25" s="109"/>
      <c r="C25" s="32"/>
      <c r="D25" s="32"/>
      <c r="E25" s="32"/>
      <c r="F25" s="32"/>
      <c r="G25" s="42"/>
      <c r="H25" s="38"/>
      <c r="I25" s="39"/>
      <c r="J25" s="32"/>
      <c r="K25" s="109"/>
      <c r="L25" s="120"/>
      <c r="M25" s="109"/>
      <c r="N25" s="32"/>
      <c r="O25" s="32"/>
      <c r="P25" s="32"/>
      <c r="Q25" s="32"/>
      <c r="R25" s="32"/>
      <c r="S25" s="32"/>
      <c r="T25" s="32"/>
      <c r="U25" s="32"/>
      <c r="V25" s="65"/>
    </row>
    <row r="26" spans="1:24" s="34" customFormat="1" x14ac:dyDescent="0.3">
      <c r="A26" s="25"/>
      <c r="B26" s="109" t="s">
        <v>26</v>
      </c>
      <c r="C26" s="32"/>
      <c r="D26" s="32"/>
      <c r="E26" s="32"/>
      <c r="F26" s="32"/>
      <c r="G26" s="42"/>
      <c r="H26" s="56">
        <f>IFERROR(ROUND(SUMIFS(G:G,B:B,"Arbeitspreis pro kWh " &amp; B21 &amp; " in EUR")/H24,4),0)</f>
        <v>0</v>
      </c>
      <c r="I26" s="57" t="s">
        <v>12</v>
      </c>
      <c r="J26" s="33" t="s">
        <v>4</v>
      </c>
      <c r="K26" s="109" t="s">
        <v>34</v>
      </c>
      <c r="L26" s="134"/>
      <c r="M26" s="110"/>
      <c r="N26" s="32"/>
      <c r="O26" s="32"/>
      <c r="P26" s="32"/>
      <c r="Q26" s="32"/>
      <c r="R26" s="32"/>
      <c r="S26" s="32"/>
      <c r="T26" s="32"/>
      <c r="U26" s="32"/>
      <c r="V26" s="65" t="str">
        <f>IF(H26&gt;=1,"JA","NEIN")</f>
        <v>NEIN</v>
      </c>
    </row>
    <row r="27" spans="1:24" s="34" customFormat="1" x14ac:dyDescent="0.3">
      <c r="A27" s="25"/>
      <c r="B27" s="109" t="s">
        <v>28</v>
      </c>
      <c r="C27" s="32"/>
      <c r="D27" s="32"/>
      <c r="E27" s="32"/>
      <c r="F27" s="32"/>
      <c r="G27" s="42"/>
      <c r="H27" s="40">
        <f>ROUND('1 - Strom Erdgas Wärme Vgl'!$H$26,4)</f>
        <v>0</v>
      </c>
      <c r="I27" s="57" t="s">
        <v>12</v>
      </c>
      <c r="J27" s="32"/>
      <c r="K27" s="109"/>
      <c r="L27" s="134"/>
      <c r="M27" s="109"/>
      <c r="N27" s="32"/>
      <c r="O27" s="32"/>
      <c r="P27" s="32"/>
      <c r="Q27" s="32"/>
      <c r="R27" s="32"/>
      <c r="S27" s="32"/>
      <c r="T27" s="32"/>
      <c r="U27" s="32"/>
      <c r="V27" s="65" t="str">
        <f>'1 - Strom Erdgas Wärme Vgl'!AA26</f>
        <v>NEIN</v>
      </c>
    </row>
    <row r="28" spans="1:24" s="34" customFormat="1" x14ac:dyDescent="0.3">
      <c r="A28" s="25"/>
      <c r="B28" s="109" t="s">
        <v>29</v>
      </c>
      <c r="C28" s="32"/>
      <c r="D28" s="32"/>
      <c r="E28" s="32"/>
      <c r="F28" s="32"/>
      <c r="G28" s="42"/>
      <c r="H28" s="40">
        <f>IF(H27=0,0,MAX(IFERROR(ROUND(H26-H27,4),0),0))</f>
        <v>0</v>
      </c>
      <c r="I28" s="57" t="s">
        <v>12</v>
      </c>
      <c r="J28" s="131" t="s">
        <v>202</v>
      </c>
      <c r="K28" s="132" t="s">
        <v>205</v>
      </c>
      <c r="L28" s="134"/>
      <c r="M28" s="109"/>
      <c r="N28" s="32"/>
      <c r="O28" s="32"/>
      <c r="P28" s="32"/>
      <c r="Q28" s="32"/>
      <c r="R28" s="32"/>
      <c r="S28" s="32"/>
      <c r="T28" s="32"/>
      <c r="U28" s="32"/>
      <c r="V28" s="65"/>
    </row>
    <row r="29" spans="1:24" s="34" customFormat="1" x14ac:dyDescent="0.3">
      <c r="A29" s="25"/>
      <c r="B29" s="32"/>
      <c r="C29" s="32"/>
      <c r="D29" s="32"/>
      <c r="E29" s="32"/>
      <c r="F29" s="32"/>
      <c r="G29" s="42"/>
      <c r="H29" s="32"/>
      <c r="I29" s="32"/>
      <c r="J29" s="32"/>
      <c r="K29" s="109"/>
      <c r="L29" s="109"/>
      <c r="M29" s="109"/>
      <c r="N29" s="32"/>
      <c r="O29" s="32"/>
      <c r="P29" s="32"/>
      <c r="Q29" s="32"/>
      <c r="R29" s="32"/>
      <c r="S29" s="32"/>
      <c r="T29" s="32"/>
      <c r="U29" s="32"/>
      <c r="V29" s="65"/>
    </row>
    <row r="30" spans="1:24" s="34" customFormat="1" ht="18.75" x14ac:dyDescent="0.4">
      <c r="A30" s="25"/>
      <c r="B30" s="36" t="s">
        <v>53</v>
      </c>
      <c r="C30" s="32"/>
      <c r="D30" s="32"/>
      <c r="E30" s="32"/>
      <c r="F30" s="53"/>
      <c r="G30" s="54"/>
      <c r="H30" s="32"/>
      <c r="I30" s="32"/>
      <c r="J30" s="32"/>
      <c r="K30" s="109"/>
      <c r="L30" s="109"/>
      <c r="M30" s="109"/>
      <c r="N30" s="32"/>
      <c r="O30" s="32"/>
      <c r="P30" s="32"/>
      <c r="Q30" s="32"/>
      <c r="R30" s="32"/>
      <c r="S30" s="32"/>
      <c r="T30" s="32"/>
      <c r="U30" s="32"/>
      <c r="V30" s="65"/>
      <c r="X30" s="35"/>
    </row>
    <row r="31" spans="1:24" s="34" customFormat="1" x14ac:dyDescent="0.3">
      <c r="A31" s="25"/>
      <c r="B31" s="109" t="s">
        <v>54</v>
      </c>
      <c r="C31" s="32"/>
      <c r="D31" s="32"/>
      <c r="E31" s="32"/>
      <c r="F31" s="53"/>
      <c r="G31" s="54"/>
      <c r="H31" s="38">
        <f>SUMIFS(H:H,B:B,"Aliquoter " &amp; B30 &amp; "verbrauch in kWh " &amp; par_FZ_Text)</f>
        <v>0</v>
      </c>
      <c r="I31" s="39" t="s">
        <v>13</v>
      </c>
      <c r="J31" s="33" t="s">
        <v>4</v>
      </c>
      <c r="K31" s="109" t="s">
        <v>31</v>
      </c>
      <c r="L31" s="120"/>
      <c r="M31" s="110"/>
      <c r="N31" s="32"/>
      <c r="O31" s="32"/>
      <c r="P31" s="32"/>
      <c r="Q31" s="32"/>
      <c r="R31" s="32"/>
      <c r="S31" s="32"/>
      <c r="T31" s="32"/>
      <c r="U31" s="32"/>
      <c r="V31" s="65"/>
      <c r="X31" s="25"/>
    </row>
    <row r="32" spans="1:24" s="34" customFormat="1" x14ac:dyDescent="0.3">
      <c r="A32" s="25"/>
      <c r="B32" s="109" t="s">
        <v>55</v>
      </c>
      <c r="C32" s="32"/>
      <c r="D32" s="32"/>
      <c r="E32" s="32"/>
      <c r="F32" s="53"/>
      <c r="G32" s="54"/>
      <c r="H32" s="38">
        <f>SUMIFS(H:H,B:B,B30 &amp; "verbrauch in kWh " &amp; par_FZ_Text)</f>
        <v>0</v>
      </c>
      <c r="I32" s="39" t="s">
        <v>13</v>
      </c>
      <c r="J32" s="32"/>
      <c r="K32" s="109"/>
      <c r="L32" s="120"/>
      <c r="M32" s="109"/>
      <c r="N32" s="32"/>
      <c r="O32" s="32"/>
      <c r="P32" s="32"/>
      <c r="Q32" s="32"/>
      <c r="R32" s="32"/>
      <c r="S32" s="32"/>
      <c r="T32" s="32"/>
      <c r="U32" s="32"/>
      <c r="V32" s="65"/>
      <c r="X32" s="25"/>
    </row>
    <row r="33" spans="1:24" s="34" customFormat="1" x14ac:dyDescent="0.3">
      <c r="A33" s="25"/>
      <c r="B33" s="109" t="s">
        <v>56</v>
      </c>
      <c r="C33" s="32"/>
      <c r="D33" s="32"/>
      <c r="E33" s="32"/>
      <c r="F33" s="32"/>
      <c r="G33" s="42"/>
      <c r="H33" s="38">
        <f>SUM(H31:H32)</f>
        <v>0</v>
      </c>
      <c r="I33" s="39" t="s">
        <v>13</v>
      </c>
      <c r="J33" s="32"/>
      <c r="K33" s="109"/>
      <c r="L33" s="120"/>
      <c r="M33" s="109"/>
      <c r="N33" s="32"/>
      <c r="O33" s="32"/>
      <c r="P33" s="32"/>
      <c r="Q33" s="32"/>
      <c r="R33" s="32"/>
      <c r="S33" s="32"/>
      <c r="T33" s="32"/>
      <c r="U33" s="32"/>
      <c r="V33" s="65"/>
      <c r="X33" s="25"/>
    </row>
    <row r="34" spans="1:24" s="34" customFormat="1" x14ac:dyDescent="0.3">
      <c r="A34" s="25"/>
      <c r="B34" s="109" t="s">
        <v>61</v>
      </c>
      <c r="C34" s="32"/>
      <c r="D34" s="32"/>
      <c r="E34" s="32"/>
      <c r="F34" s="32"/>
      <c r="G34" s="42"/>
      <c r="H34" s="78" t="str">
        <f>IFERROR(SUMIFS(F:F,B:B,"Energiemix: Anteil in % der aus Strom oder Erdgas erzeugten Wärme/Kälte")/H33,"0,00")</f>
        <v>0,00</v>
      </c>
      <c r="I34" s="39" t="s">
        <v>82</v>
      </c>
      <c r="J34" s="33" t="s">
        <v>4</v>
      </c>
      <c r="K34" s="109" t="s">
        <v>251</v>
      </c>
      <c r="L34" s="120"/>
      <c r="M34" s="110"/>
      <c r="N34" s="32"/>
      <c r="O34" s="32"/>
      <c r="P34" s="32"/>
      <c r="Q34" s="32"/>
      <c r="R34" s="32"/>
      <c r="S34" s="32"/>
      <c r="T34" s="32"/>
      <c r="U34" s="32"/>
      <c r="V34" s="65"/>
      <c r="X34" s="25"/>
    </row>
    <row r="35" spans="1:24" s="34" customFormat="1" x14ac:dyDescent="0.3">
      <c r="A35" s="25"/>
      <c r="B35" s="109"/>
      <c r="C35" s="32"/>
      <c r="D35" s="32"/>
      <c r="E35" s="32"/>
      <c r="F35" s="32"/>
      <c r="G35" s="42"/>
      <c r="H35" s="38"/>
      <c r="I35" s="39"/>
      <c r="J35" s="32"/>
      <c r="K35" s="109"/>
      <c r="L35" s="120"/>
      <c r="M35" s="109"/>
      <c r="N35" s="32"/>
      <c r="O35" s="32"/>
      <c r="P35" s="32"/>
      <c r="Q35" s="32"/>
      <c r="R35" s="32"/>
      <c r="S35" s="32"/>
      <c r="T35" s="32"/>
      <c r="U35" s="32"/>
      <c r="V35" s="65"/>
      <c r="X35" s="25"/>
    </row>
    <row r="36" spans="1:24" s="34" customFormat="1" x14ac:dyDescent="0.3">
      <c r="A36" s="25"/>
      <c r="B36" s="109" t="s">
        <v>26</v>
      </c>
      <c r="C36" s="32"/>
      <c r="D36" s="32"/>
      <c r="E36" s="32"/>
      <c r="F36" s="32"/>
      <c r="G36" s="42"/>
      <c r="H36" s="56">
        <f>IFERROR(ROUND(SUMIFS(G:G,B:B,"Arbeitspreis pro kWh " &amp; B30 &amp; " in EUR")/H33,4),0)</f>
        <v>0</v>
      </c>
      <c r="I36" s="57" t="s">
        <v>12</v>
      </c>
      <c r="J36" s="33" t="s">
        <v>4</v>
      </c>
      <c r="K36" s="109" t="s">
        <v>203</v>
      </c>
      <c r="L36" s="134"/>
      <c r="M36" s="110"/>
      <c r="N36" s="32"/>
      <c r="O36" s="32"/>
      <c r="P36" s="32"/>
      <c r="Q36" s="32"/>
      <c r="R36" s="32"/>
      <c r="S36" s="32"/>
      <c r="T36" s="32"/>
      <c r="U36" s="32"/>
      <c r="V36" s="65" t="str">
        <f>IF(H36&gt;=1,"JA","NEIN")</f>
        <v>NEIN</v>
      </c>
      <c r="X36" s="25"/>
    </row>
    <row r="37" spans="1:24" s="34" customFormat="1" x14ac:dyDescent="0.3">
      <c r="A37" s="25"/>
      <c r="B37" s="109" t="s">
        <v>28</v>
      </c>
      <c r="C37" s="32"/>
      <c r="D37" s="32"/>
      <c r="E37" s="32"/>
      <c r="F37" s="32"/>
      <c r="G37" s="42"/>
      <c r="H37" s="40">
        <f>ROUND('1 - Strom Erdgas Wärme Vgl'!$H$31,4)</f>
        <v>0</v>
      </c>
      <c r="I37" s="57" t="s">
        <v>12</v>
      </c>
      <c r="J37" s="32"/>
      <c r="K37" s="109"/>
      <c r="L37" s="134"/>
      <c r="M37" s="109"/>
      <c r="N37" s="32"/>
      <c r="O37" s="32"/>
      <c r="P37" s="32"/>
      <c r="Q37" s="32"/>
      <c r="R37" s="32"/>
      <c r="S37" s="32"/>
      <c r="T37" s="32"/>
      <c r="U37" s="32"/>
      <c r="V37" s="65" t="str">
        <f>'1 - Strom Erdgas Wärme Vgl'!AA31</f>
        <v>NEIN</v>
      </c>
      <c r="X37" s="25"/>
    </row>
    <row r="38" spans="1:24" s="34" customFormat="1" x14ac:dyDescent="0.3">
      <c r="A38" s="25"/>
      <c r="B38" s="109" t="s">
        <v>29</v>
      </c>
      <c r="C38" s="32"/>
      <c r="D38" s="32"/>
      <c r="E38" s="32"/>
      <c r="F38" s="32"/>
      <c r="G38" s="42"/>
      <c r="H38" s="40">
        <f>IF(H37=0,0,MAX(IFERROR(ROUND(H36-H37,4),0),0))</f>
        <v>0</v>
      </c>
      <c r="I38" s="57" t="s">
        <v>12</v>
      </c>
      <c r="J38" s="131" t="s">
        <v>202</v>
      </c>
      <c r="K38" s="132" t="s">
        <v>205</v>
      </c>
      <c r="L38" s="134"/>
      <c r="M38" s="109"/>
      <c r="N38" s="32"/>
      <c r="O38" s="32"/>
      <c r="P38" s="32"/>
      <c r="Q38" s="32"/>
      <c r="R38" s="32"/>
      <c r="S38" s="32"/>
      <c r="T38" s="32"/>
      <c r="U38" s="32"/>
      <c r="V38" s="32"/>
      <c r="X38" s="25"/>
    </row>
    <row r="39" spans="1:24" s="34" customFormat="1" x14ac:dyDescent="0.3">
      <c r="A39" s="25"/>
      <c r="B39" s="32"/>
      <c r="C39" s="32"/>
      <c r="D39" s="32"/>
      <c r="E39" s="32"/>
      <c r="F39" s="32"/>
      <c r="G39" s="42"/>
      <c r="H39" s="32"/>
      <c r="I39" s="32"/>
      <c r="J39" s="32"/>
      <c r="K39" s="32"/>
      <c r="L39" s="32"/>
      <c r="M39" s="32"/>
      <c r="N39" s="32"/>
      <c r="O39" s="32"/>
      <c r="P39" s="32"/>
      <c r="Q39" s="32"/>
      <c r="R39" s="32"/>
      <c r="S39" s="32"/>
      <c r="T39" s="32"/>
      <c r="U39" s="32"/>
      <c r="V39" s="32"/>
    </row>
    <row r="40" spans="1:24" ht="17.25" thickBot="1" x14ac:dyDescent="0.35">
      <c r="B40" s="72"/>
      <c r="C40" s="72"/>
      <c r="D40" s="72"/>
      <c r="E40" s="72"/>
      <c r="F40" s="72"/>
      <c r="G40" s="73"/>
      <c r="H40" s="72"/>
      <c r="I40" s="72"/>
      <c r="J40" s="72"/>
      <c r="K40" s="72"/>
      <c r="L40" s="72"/>
      <c r="M40" s="72"/>
      <c r="N40" s="72"/>
      <c r="O40" s="72"/>
      <c r="P40" s="72"/>
      <c r="Q40" s="72"/>
      <c r="R40" s="72"/>
      <c r="S40" s="72"/>
      <c r="T40" s="72"/>
      <c r="U40" s="72"/>
      <c r="V40" s="72"/>
      <c r="W40" s="34"/>
    </row>
    <row r="41" spans="1:24" x14ac:dyDescent="0.3">
      <c r="B41" s="32"/>
      <c r="C41" s="32"/>
      <c r="D41" s="65"/>
      <c r="E41" s="65"/>
      <c r="F41" s="65"/>
      <c r="G41" s="65"/>
      <c r="H41" s="32"/>
      <c r="I41" s="32"/>
      <c r="J41" s="32"/>
      <c r="K41" s="32"/>
      <c r="L41" s="32"/>
      <c r="M41" s="32"/>
      <c r="N41" s="32"/>
      <c r="O41" s="32"/>
      <c r="P41" s="32"/>
      <c r="Q41" s="32"/>
      <c r="R41" s="32"/>
      <c r="S41" s="32"/>
      <c r="T41" s="32"/>
      <c r="U41" s="32"/>
      <c r="V41" s="32"/>
      <c r="W41" s="34"/>
    </row>
    <row r="42" spans="1:24" s="34" customFormat="1" ht="19.5" thickBot="1" x14ac:dyDescent="0.45">
      <c r="A42" s="25"/>
      <c r="B42" s="36" t="s">
        <v>6</v>
      </c>
      <c r="C42" s="109"/>
      <c r="D42" s="118"/>
      <c r="E42" s="118"/>
      <c r="F42" s="118"/>
      <c r="G42" s="118"/>
      <c r="H42" s="109"/>
      <c r="I42" s="136">
        <f>par_FZ_SEW_Start</f>
        <v>44927</v>
      </c>
      <c r="J42" s="136">
        <f>EOMONTH(I42,0)+1</f>
        <v>44958</v>
      </c>
      <c r="K42" s="136">
        <f t="shared" ref="K42:N42" si="0">EOMONTH(J42,0)+1</f>
        <v>44986</v>
      </c>
      <c r="L42" s="136">
        <f t="shared" si="0"/>
        <v>45017</v>
      </c>
      <c r="M42" s="136">
        <f t="shared" si="0"/>
        <v>45047</v>
      </c>
      <c r="N42" s="136">
        <f t="shared" si="0"/>
        <v>45078</v>
      </c>
      <c r="O42" s="32"/>
      <c r="P42" s="46"/>
      <c r="Q42" s="46"/>
      <c r="R42" s="46"/>
      <c r="S42" s="46"/>
      <c r="T42" s="46"/>
      <c r="U42" s="46"/>
      <c r="V42" s="32"/>
    </row>
    <row r="43" spans="1:24" s="34" customFormat="1" ht="17.25" thickBot="1" x14ac:dyDescent="0.35">
      <c r="A43" s="25"/>
      <c r="B43" s="109" t="s">
        <v>204</v>
      </c>
      <c r="C43" s="109"/>
      <c r="D43" s="118"/>
      <c r="E43" s="118"/>
      <c r="F43" s="118"/>
      <c r="G43" s="118"/>
      <c r="H43" s="266"/>
      <c r="I43" s="47"/>
      <c r="J43" s="48"/>
      <c r="K43" s="48"/>
      <c r="L43" s="48"/>
      <c r="M43" s="48"/>
      <c r="N43" s="48"/>
      <c r="O43" s="33" t="s">
        <v>4</v>
      </c>
      <c r="P43" s="109" t="s">
        <v>21</v>
      </c>
      <c r="Q43" s="46"/>
      <c r="R43" s="46"/>
      <c r="S43" s="46"/>
      <c r="T43" s="46"/>
      <c r="U43" s="46"/>
      <c r="V43" s="32"/>
    </row>
    <row r="44" spans="1:24" s="34" customFormat="1" ht="17.25" thickBot="1" x14ac:dyDescent="0.35">
      <c r="A44" s="25"/>
      <c r="B44" s="109" t="s">
        <v>8</v>
      </c>
      <c r="C44" s="109"/>
      <c r="D44" s="118"/>
      <c r="E44" s="118"/>
      <c r="F44" s="118"/>
      <c r="G44" s="118"/>
      <c r="H44" s="137">
        <f>IFERROR(VLOOKUP(H43,'1 - Strom Erdgas Wärme Vgl'!H:AA,17,FALSE),"")</f>
        <v>0</v>
      </c>
      <c r="I44" s="47"/>
      <c r="J44" s="48"/>
      <c r="K44" s="48"/>
      <c r="L44" s="48"/>
      <c r="M44" s="48"/>
      <c r="N44" s="48"/>
      <c r="O44" s="33"/>
      <c r="P44" s="109"/>
      <c r="Q44" s="46"/>
      <c r="R44" s="46"/>
      <c r="S44" s="46"/>
      <c r="T44" s="46"/>
      <c r="U44" s="46"/>
      <c r="V44" s="32"/>
    </row>
    <row r="45" spans="1:24" s="34" customFormat="1" ht="17.25" thickBot="1" x14ac:dyDescent="0.35">
      <c r="A45" s="25"/>
      <c r="B45" s="109" t="s">
        <v>10</v>
      </c>
      <c r="C45" s="109"/>
      <c r="D45" s="118"/>
      <c r="E45" s="118"/>
      <c r="F45" s="118"/>
      <c r="G45" s="118"/>
      <c r="H45" s="258">
        <f>IFERROR(VLOOKUP(H43,'1 - Strom Erdgas Wärme Vgl'!H:AA,18,FALSE),"")</f>
        <v>0</v>
      </c>
      <c r="I45" s="49"/>
      <c r="J45" s="50"/>
      <c r="K45" s="50"/>
      <c r="L45" s="50"/>
      <c r="M45" s="50"/>
      <c r="N45" s="50"/>
      <c r="O45" s="33" t="s">
        <v>4</v>
      </c>
      <c r="P45" s="109" t="s">
        <v>11</v>
      </c>
      <c r="Q45" s="46"/>
      <c r="R45" s="46"/>
      <c r="S45" s="46"/>
      <c r="T45" s="46"/>
      <c r="U45" s="46"/>
      <c r="V45" s="32"/>
    </row>
    <row r="46" spans="1:24" s="34" customFormat="1" ht="17.25" thickBot="1" x14ac:dyDescent="0.35">
      <c r="A46" s="25"/>
      <c r="B46" s="109" t="str" cm="1">
        <f t="array" ref="B46">_xlfn.IFS(OR(ISBLANK(H45),H45=0),"Bitte Energieart auswählen!",TRUE(),"Arbeitspreis pro kWh " &amp; H45 &amp; " in EUR")</f>
        <v>Bitte Energieart auswählen!</v>
      </c>
      <c r="C46" s="109"/>
      <c r="D46" s="118"/>
      <c r="E46" s="118"/>
      <c r="F46" s="118"/>
      <c r="G46" s="138">
        <f>IFERROR(SUMPRODUCT(I46:N46,I47:N47),"")</f>
        <v>0</v>
      </c>
      <c r="H46" s="109"/>
      <c r="I46" s="267"/>
      <c r="J46" s="267"/>
      <c r="K46" s="267"/>
      <c r="L46" s="267"/>
      <c r="M46" s="267"/>
      <c r="N46" s="267"/>
      <c r="O46" s="33" t="s">
        <v>4</v>
      </c>
      <c r="P46" s="109" t="str">
        <f>IF(OR(ISBLANK(H45),H45=0),"Bitte Energieart auswählen!",H45 &amp; "kosten exkl. Steuern, Abgaben, Netzentgelte, etc.")</f>
        <v>Bitte Energieart auswählen!</v>
      </c>
      <c r="Q46" s="32"/>
      <c r="R46" s="32"/>
      <c r="S46" s="51"/>
      <c r="T46" s="38"/>
      <c r="U46" s="39"/>
      <c r="V46" s="32"/>
    </row>
    <row r="47" spans="1:24" s="34" customFormat="1" ht="17.25" thickBot="1" x14ac:dyDescent="0.35">
      <c r="A47" s="25"/>
      <c r="B47" s="109" t="str">
        <f>IF(OR(ISBLANK(H45),H45=0),"Bitte Energieart auswählen!",IF(H44="Nein","Aliquoter ","") &amp; H45 &amp;"verbrauch in kWh " &amp; par_FZ_Text)</f>
        <v>Bitte Energieart auswählen!</v>
      </c>
      <c r="C47" s="109"/>
      <c r="D47" s="118"/>
      <c r="E47" s="118"/>
      <c r="F47" s="118"/>
      <c r="G47" s="118"/>
      <c r="H47" s="126">
        <f>SUM(I47:N47)</f>
        <v>0</v>
      </c>
      <c r="I47" s="259" t="str">
        <f>IFERROR(IF($H44="Nein",VLOOKUP(CONCATENATE($H43,"_",$H45),'1 - Strom Erdgas Wärme Vgl'!$W:$AA,5,FALSE)/par_VZ_Monate,""),"")</f>
        <v/>
      </c>
      <c r="J47" s="259" t="str">
        <f>IFERROR(IF($H44="Nein",VLOOKUP(CONCATENATE($H43,"_",$H45),'1 - Strom Erdgas Wärme Vgl'!$W:$AA,5,FALSE)/par_VZ_Monate,""),"")</f>
        <v/>
      </c>
      <c r="K47" s="259" t="str">
        <f>IFERROR(IF($H44="Nein",VLOOKUP(CONCATENATE($H43,"_",$H45),'1 - Strom Erdgas Wärme Vgl'!$W:$AA,5,FALSE)/par_VZ_Monate,""),"")</f>
        <v/>
      </c>
      <c r="L47" s="259" t="str">
        <f>IFERROR(IF($H44="Nein",VLOOKUP(CONCATENATE($H43,"_",$H45),'1 - Strom Erdgas Wärme Vgl'!$W:$AA,5,FALSE)/par_VZ_Monate,""),"")</f>
        <v/>
      </c>
      <c r="M47" s="259" t="str">
        <f>IFERROR(IF($H44="Nein",VLOOKUP(CONCATENATE($H43,"_",$H45),'1 - Strom Erdgas Wärme Vgl'!$W:$AA,5,FALSE)/par_VZ_Monate,""),"")</f>
        <v/>
      </c>
      <c r="N47" s="259" t="str">
        <f>IFERROR(IF($H44="Nein",VLOOKUP(CONCATENATE($H43,"_",$H45),'1 - Strom Erdgas Wärme Vgl'!$W:$AA,5,FALSE)/par_VZ_Monate,""),"")</f>
        <v/>
      </c>
      <c r="O47" s="33" t="s">
        <v>4</v>
      </c>
      <c r="P47" s="135" t="str">
        <f>IFERROR(IF(H44="Nein","Vorbefüllte Verbrauchswerte wurden aliquot (d.h. 1/" &amp; par_VZ_Monate &amp; ") aus dem Jahr " &amp; par_Jahr1 &amp; " übernommen.","Bitte ergänzen Sie die monatlichen Verbrauchswerte gem. Lastprofilzähler"),"")</f>
        <v>Bitte ergänzen Sie die monatlichen Verbrauchswerte gem. Lastprofilzähler</v>
      </c>
      <c r="Q47" s="52"/>
      <c r="R47" s="52"/>
      <c r="S47" s="52"/>
      <c r="T47" s="52"/>
      <c r="U47" s="52"/>
      <c r="V47" s="52"/>
    </row>
    <row r="48" spans="1:24" x14ac:dyDescent="0.3">
      <c r="B48" s="109" t="str">
        <f>IF(H45="Wärme/Kälte","Energiemix: Anteil in % der aus Strom oder Erdgas erzeugten Wärme/Kälte","")</f>
        <v/>
      </c>
      <c r="C48" s="31"/>
      <c r="D48" s="65"/>
      <c r="E48" s="65"/>
      <c r="F48" s="86">
        <f>IFERROR(SUMPRODUCT(I48:N48,I47:N47),"")</f>
        <v>0</v>
      </c>
      <c r="G48" s="86"/>
      <c r="H48" s="31"/>
      <c r="I48" s="268"/>
      <c r="J48" s="269"/>
      <c r="K48" s="268"/>
      <c r="L48" s="269"/>
      <c r="M48" s="268"/>
      <c r="N48" s="269"/>
      <c r="O48" s="33" t="str">
        <f>IF(H45="Wärme/Kälte","i","")</f>
        <v/>
      </c>
      <c r="P48" s="109" t="str">
        <f>IF(H45="Wärme/Kälte","Bitte geben Sie den Anteil in % (von 0 bis 100, ohne Prozentzeichen) der direkt aus Strom oder Erdgas erzeugten Wärme/Kälte.","")</f>
        <v/>
      </c>
      <c r="Q48" s="31"/>
      <c r="R48" s="31"/>
      <c r="S48" s="31"/>
      <c r="T48" s="31"/>
      <c r="U48" s="31"/>
      <c r="V48" s="31"/>
      <c r="W48" s="34"/>
      <c r="X48" s="34"/>
    </row>
    <row r="49" spans="1:24" x14ac:dyDescent="0.3">
      <c r="B49" s="31"/>
      <c r="C49" s="31"/>
      <c r="D49" s="65"/>
      <c r="E49" s="65"/>
      <c r="F49" s="65"/>
      <c r="G49" s="65"/>
      <c r="H49" s="31"/>
      <c r="I49" s="31"/>
      <c r="J49" s="31"/>
      <c r="K49" s="31"/>
      <c r="L49" s="31"/>
      <c r="M49" s="31"/>
      <c r="N49" s="31"/>
      <c r="O49" s="33"/>
      <c r="P49" s="32"/>
      <c r="Q49" s="31"/>
      <c r="R49" s="31"/>
      <c r="S49" s="31"/>
      <c r="T49" s="31"/>
      <c r="U49" s="31"/>
      <c r="V49" s="31"/>
      <c r="W49" s="34"/>
      <c r="X49" s="34"/>
    </row>
    <row r="50" spans="1:24" s="34" customFormat="1" ht="19.5" thickBot="1" x14ac:dyDescent="0.45">
      <c r="A50" s="25"/>
      <c r="B50" s="36" t="s">
        <v>6</v>
      </c>
      <c r="C50" s="109"/>
      <c r="D50" s="118"/>
      <c r="E50" s="118"/>
      <c r="F50" s="118"/>
      <c r="G50" s="118"/>
      <c r="H50" s="109"/>
      <c r="I50" s="136">
        <f>par_FZ_SEW_Start</f>
        <v>44927</v>
      </c>
      <c r="J50" s="136">
        <f>EOMONTH(I50,0)+1</f>
        <v>44958</v>
      </c>
      <c r="K50" s="136">
        <f t="shared" ref="K50" si="1">EOMONTH(J50,0)+1</f>
        <v>44986</v>
      </c>
      <c r="L50" s="136">
        <f t="shared" ref="L50" si="2">EOMONTH(K50,0)+1</f>
        <v>45017</v>
      </c>
      <c r="M50" s="136">
        <f t="shared" ref="M50" si="3">EOMONTH(L50,0)+1</f>
        <v>45047</v>
      </c>
      <c r="N50" s="136">
        <f t="shared" ref="N50" si="4">EOMONTH(M50,0)+1</f>
        <v>45078</v>
      </c>
      <c r="O50" s="32"/>
      <c r="P50" s="46"/>
      <c r="Q50" s="46"/>
      <c r="R50" s="46"/>
      <c r="S50" s="46"/>
      <c r="T50" s="46"/>
      <c r="U50" s="46"/>
      <c r="V50" s="32"/>
    </row>
    <row r="51" spans="1:24" s="34" customFormat="1" ht="17.25" thickBot="1" x14ac:dyDescent="0.35">
      <c r="A51" s="25"/>
      <c r="B51" s="109" t="s">
        <v>204</v>
      </c>
      <c r="C51" s="109"/>
      <c r="D51" s="118"/>
      <c r="E51" s="118"/>
      <c r="F51" s="118"/>
      <c r="G51" s="118"/>
      <c r="H51" s="266"/>
      <c r="I51" s="47"/>
      <c r="J51" s="48"/>
      <c r="K51" s="48"/>
      <c r="L51" s="48"/>
      <c r="M51" s="48"/>
      <c r="N51" s="48"/>
      <c r="O51" s="33" t="s">
        <v>4</v>
      </c>
      <c r="P51" s="109" t="s">
        <v>21</v>
      </c>
      <c r="Q51" s="46"/>
      <c r="R51" s="46"/>
      <c r="S51" s="46"/>
      <c r="T51" s="46"/>
      <c r="U51" s="46"/>
      <c r="V51" s="32"/>
    </row>
    <row r="52" spans="1:24" s="34" customFormat="1" ht="17.25" thickBot="1" x14ac:dyDescent="0.35">
      <c r="A52" s="25"/>
      <c r="B52" s="109" t="s">
        <v>8</v>
      </c>
      <c r="C52" s="109"/>
      <c r="D52" s="118"/>
      <c r="E52" s="118"/>
      <c r="F52" s="118"/>
      <c r="G52" s="118"/>
      <c r="H52" s="137">
        <f>IFERROR(VLOOKUP(H51,'1 - Strom Erdgas Wärme Vgl'!H:AA,17,FALSE),"")</f>
        <v>0</v>
      </c>
      <c r="I52" s="47"/>
      <c r="J52" s="48"/>
      <c r="K52" s="48"/>
      <c r="L52" s="48"/>
      <c r="M52" s="48"/>
      <c r="N52" s="48"/>
      <c r="O52" s="33"/>
      <c r="P52" s="109"/>
      <c r="Q52" s="46"/>
      <c r="R52" s="46"/>
      <c r="S52" s="46"/>
      <c r="T52" s="46"/>
      <c r="U52" s="46"/>
      <c r="V52" s="32"/>
    </row>
    <row r="53" spans="1:24" s="34" customFormat="1" ht="17.25" thickBot="1" x14ac:dyDescent="0.35">
      <c r="A53" s="25"/>
      <c r="B53" s="109" t="s">
        <v>10</v>
      </c>
      <c r="C53" s="109"/>
      <c r="D53" s="118"/>
      <c r="E53" s="118"/>
      <c r="F53" s="118"/>
      <c r="G53" s="118"/>
      <c r="H53" s="258">
        <f>IFERROR(VLOOKUP(H51,'1 - Strom Erdgas Wärme Vgl'!H:AA,18,FALSE),"")</f>
        <v>0</v>
      </c>
      <c r="I53" s="49"/>
      <c r="J53" s="50"/>
      <c r="K53" s="50"/>
      <c r="L53" s="50"/>
      <c r="M53" s="50"/>
      <c r="N53" s="50"/>
      <c r="O53" s="33" t="s">
        <v>4</v>
      </c>
      <c r="P53" s="109" t="s">
        <v>11</v>
      </c>
      <c r="Q53" s="46"/>
      <c r="R53" s="46"/>
      <c r="S53" s="46"/>
      <c r="T53" s="46"/>
      <c r="U53" s="46"/>
      <c r="V53" s="32"/>
    </row>
    <row r="54" spans="1:24" s="34" customFormat="1" ht="17.25" thickBot="1" x14ac:dyDescent="0.35">
      <c r="A54" s="25"/>
      <c r="B54" s="109" t="str" cm="1">
        <f t="array" ref="B54">_xlfn.IFS(OR(ISBLANK(H53),H53=0),"Bitte Energieart auswählen!",TRUE(),"Arbeitspreis pro kWh " &amp; H53 &amp; " in EUR")</f>
        <v>Bitte Energieart auswählen!</v>
      </c>
      <c r="C54" s="109"/>
      <c r="D54" s="118"/>
      <c r="E54" s="118"/>
      <c r="F54" s="118"/>
      <c r="G54" s="138">
        <f>IFERROR(SUMPRODUCT(I54:N54,I55:N55),"")</f>
        <v>0</v>
      </c>
      <c r="H54" s="109"/>
      <c r="I54" s="267"/>
      <c r="J54" s="267"/>
      <c r="K54" s="267"/>
      <c r="L54" s="267"/>
      <c r="M54" s="267"/>
      <c r="N54" s="267"/>
      <c r="O54" s="33" t="s">
        <v>4</v>
      </c>
      <c r="P54" s="109" t="str">
        <f>IF(OR(ISBLANK(H53),H53=0),"Bitte Energieart auswählen!",H53 &amp; "kosten exkl. Steuern, Abgaben, Netzentgelte, etc.")</f>
        <v>Bitte Energieart auswählen!</v>
      </c>
      <c r="Q54" s="32"/>
      <c r="R54" s="32"/>
      <c r="S54" s="51"/>
      <c r="T54" s="38"/>
      <c r="U54" s="39"/>
      <c r="V54" s="32"/>
    </row>
    <row r="55" spans="1:24" s="34" customFormat="1" ht="17.25" thickBot="1" x14ac:dyDescent="0.35">
      <c r="A55" s="25"/>
      <c r="B55" s="109" t="str">
        <f>IF(OR(ISBLANK(H53),H53=0),"Bitte Energieart auswählen!",IF(H52="Nein","Aliquoter ","") &amp; H53 &amp;"verbrauch in kWh " &amp; par_FZ_Text)</f>
        <v>Bitte Energieart auswählen!</v>
      </c>
      <c r="C55" s="109"/>
      <c r="D55" s="118"/>
      <c r="E55" s="118"/>
      <c r="F55" s="118"/>
      <c r="G55" s="118"/>
      <c r="H55" s="126">
        <f>SUM(I55:N55)</f>
        <v>0</v>
      </c>
      <c r="I55" s="259" t="str">
        <f>IFERROR(IF($H52="Nein",VLOOKUP(CONCATENATE($H51,"_",$H53),'1 - Strom Erdgas Wärme Vgl'!$W:$AA,5,FALSE)/par_VZ_Monate,""),"")</f>
        <v/>
      </c>
      <c r="J55" s="259" t="str">
        <f>IFERROR(IF($H52="Nein",VLOOKUP(CONCATENATE($H51,"_",$H53),'1 - Strom Erdgas Wärme Vgl'!$W:$AA,5,FALSE)/par_VZ_Monate,""),"")</f>
        <v/>
      </c>
      <c r="K55" s="259" t="str">
        <f>IFERROR(IF($H52="Nein",VLOOKUP(CONCATENATE($H51,"_",$H53),'1 - Strom Erdgas Wärme Vgl'!$W:$AA,5,FALSE)/par_VZ_Monate,""),"")</f>
        <v/>
      </c>
      <c r="L55" s="259" t="str">
        <f>IFERROR(IF($H52="Nein",VLOOKUP(CONCATENATE($H51,"_",$H53),'1 - Strom Erdgas Wärme Vgl'!$W:$AA,5,FALSE)/par_VZ_Monate,""),"")</f>
        <v/>
      </c>
      <c r="M55" s="259" t="str">
        <f>IFERROR(IF($H52="Nein",VLOOKUP(CONCATENATE($H51,"_",$H53),'1 - Strom Erdgas Wärme Vgl'!$W:$AA,5,FALSE)/par_VZ_Monate,""),"")</f>
        <v/>
      </c>
      <c r="N55" s="259" t="str">
        <f>IFERROR(IF($H52="Nein",VLOOKUP(CONCATENATE($H51,"_",$H53),'1 - Strom Erdgas Wärme Vgl'!$W:$AA,5,FALSE)/par_VZ_Monate,""),"")</f>
        <v/>
      </c>
      <c r="O55" s="33" t="s">
        <v>4</v>
      </c>
      <c r="P55" s="135" t="str">
        <f>IFERROR(IF(H52="Nein","Vorbefüllte Verbrauchswerte wurden aliquot (d.h. 1/" &amp; par_VZ_Monate &amp; ") aus dem Jahr " &amp; par_Jahr1 &amp; " übernommen.","Bitte ergänzen Sie die monatlichen Verbrauchswerte gem. Lastprofilzähler"),"")</f>
        <v>Bitte ergänzen Sie die monatlichen Verbrauchswerte gem. Lastprofilzähler</v>
      </c>
      <c r="Q55" s="52"/>
      <c r="R55" s="52"/>
      <c r="S55" s="52"/>
      <c r="T55" s="52"/>
      <c r="U55" s="52"/>
      <c r="V55" s="52"/>
    </row>
    <row r="56" spans="1:24" x14ac:dyDescent="0.3">
      <c r="B56" s="109" t="str">
        <f>IF(H53="Wärme/Kälte","Energiemix: Anteil in % der aus Strom oder Erdgas erzeugten Wärme/Kälte","")</f>
        <v/>
      </c>
      <c r="C56" s="31"/>
      <c r="D56" s="65"/>
      <c r="E56" s="65"/>
      <c r="F56" s="86">
        <f>IFERROR(SUMPRODUCT(I56:N56,I55:N55),"")</f>
        <v>0</v>
      </c>
      <c r="G56" s="86"/>
      <c r="H56" s="31"/>
      <c r="I56" s="268"/>
      <c r="J56" s="269"/>
      <c r="K56" s="268"/>
      <c r="L56" s="269"/>
      <c r="M56" s="268"/>
      <c r="N56" s="269"/>
      <c r="O56" s="33" t="str">
        <f>IF(H53="Wärme/Kälte","i","")</f>
        <v/>
      </c>
      <c r="P56" s="109" t="str">
        <f>IF(H53="Wärme/Kälte","Bitte geben Sie den Anteil in % (von 0 bis 100, ohne Prozentzeichen) der direkt aus Strom oder Erdgas erzeugten Wärme/Kälte.","")</f>
        <v/>
      </c>
      <c r="Q56" s="31"/>
      <c r="R56" s="31"/>
      <c r="S56" s="31"/>
      <c r="T56" s="31"/>
      <c r="U56" s="31"/>
      <c r="V56" s="31"/>
      <c r="W56" s="34"/>
      <c r="X56" s="34"/>
    </row>
    <row r="57" spans="1:24" x14ac:dyDescent="0.3">
      <c r="B57" s="31"/>
      <c r="C57" s="31"/>
      <c r="D57" s="65"/>
      <c r="E57" s="65"/>
      <c r="F57" s="65"/>
      <c r="G57" s="65"/>
      <c r="H57" s="31"/>
      <c r="I57" s="31"/>
      <c r="J57" s="31"/>
      <c r="K57" s="31"/>
      <c r="L57" s="31"/>
      <c r="M57" s="31"/>
      <c r="N57" s="31"/>
      <c r="O57" s="33"/>
      <c r="P57" s="32"/>
      <c r="Q57" s="31"/>
      <c r="R57" s="31"/>
      <c r="S57" s="31"/>
      <c r="T57" s="31"/>
      <c r="U57" s="31"/>
      <c r="V57" s="31"/>
      <c r="W57" s="34"/>
      <c r="X57" s="34"/>
    </row>
    <row r="58" spans="1:24" s="34" customFormat="1" ht="19.5" thickBot="1" x14ac:dyDescent="0.45">
      <c r="A58" s="25"/>
      <c r="B58" s="36" t="s">
        <v>6</v>
      </c>
      <c r="C58" s="109"/>
      <c r="D58" s="118"/>
      <c r="E58" s="118"/>
      <c r="F58" s="118"/>
      <c r="G58" s="118"/>
      <c r="H58" s="109"/>
      <c r="I58" s="136">
        <f>par_FZ_SEW_Start</f>
        <v>44927</v>
      </c>
      <c r="J58" s="136">
        <f>EOMONTH(I58,0)+1</f>
        <v>44958</v>
      </c>
      <c r="K58" s="136">
        <f t="shared" ref="K58" si="5">EOMONTH(J58,0)+1</f>
        <v>44986</v>
      </c>
      <c r="L58" s="136">
        <f t="shared" ref="L58" si="6">EOMONTH(K58,0)+1</f>
        <v>45017</v>
      </c>
      <c r="M58" s="136">
        <f t="shared" ref="M58" si="7">EOMONTH(L58,0)+1</f>
        <v>45047</v>
      </c>
      <c r="N58" s="136">
        <f t="shared" ref="N58" si="8">EOMONTH(M58,0)+1</f>
        <v>45078</v>
      </c>
      <c r="O58" s="32"/>
      <c r="P58" s="46"/>
      <c r="Q58" s="46"/>
      <c r="R58" s="46"/>
      <c r="S58" s="46"/>
      <c r="T58" s="46"/>
      <c r="U58" s="46"/>
      <c r="V58" s="32"/>
    </row>
    <row r="59" spans="1:24" s="34" customFormat="1" ht="17.25" thickBot="1" x14ac:dyDescent="0.35">
      <c r="A59" s="25"/>
      <c r="B59" s="109" t="s">
        <v>204</v>
      </c>
      <c r="C59" s="109"/>
      <c r="D59" s="118"/>
      <c r="E59" s="118"/>
      <c r="F59" s="118"/>
      <c r="G59" s="118"/>
      <c r="H59" s="266"/>
      <c r="I59" s="47"/>
      <c r="J59" s="48"/>
      <c r="K59" s="48"/>
      <c r="L59" s="48"/>
      <c r="M59" s="48"/>
      <c r="N59" s="48"/>
      <c r="O59" s="33" t="s">
        <v>4</v>
      </c>
      <c r="P59" s="109" t="s">
        <v>21</v>
      </c>
      <c r="Q59" s="46"/>
      <c r="R59" s="46"/>
      <c r="S59" s="46"/>
      <c r="T59" s="46"/>
      <c r="U59" s="46"/>
      <c r="V59" s="32"/>
    </row>
    <row r="60" spans="1:24" s="34" customFormat="1" ht="17.25" thickBot="1" x14ac:dyDescent="0.35">
      <c r="A60" s="25"/>
      <c r="B60" s="109" t="s">
        <v>8</v>
      </c>
      <c r="C60" s="109"/>
      <c r="D60" s="118"/>
      <c r="E60" s="118"/>
      <c r="F60" s="118"/>
      <c r="G60" s="118"/>
      <c r="H60" s="137">
        <f>IFERROR(VLOOKUP(H59,'1 - Strom Erdgas Wärme Vgl'!H:AA,17,FALSE),"")</f>
        <v>0</v>
      </c>
      <c r="I60" s="47"/>
      <c r="J60" s="48"/>
      <c r="K60" s="48"/>
      <c r="L60" s="48"/>
      <c r="M60" s="48"/>
      <c r="N60" s="48"/>
      <c r="O60" s="33"/>
      <c r="P60" s="109"/>
      <c r="Q60" s="46"/>
      <c r="R60" s="46"/>
      <c r="S60" s="46"/>
      <c r="T60" s="46"/>
      <c r="U60" s="46"/>
      <c r="V60" s="32"/>
    </row>
    <row r="61" spans="1:24" s="34" customFormat="1" ht="17.25" thickBot="1" x14ac:dyDescent="0.35">
      <c r="A61" s="25"/>
      <c r="B61" s="109" t="s">
        <v>10</v>
      </c>
      <c r="C61" s="109"/>
      <c r="D61" s="118"/>
      <c r="E61" s="118"/>
      <c r="F61" s="118"/>
      <c r="G61" s="118"/>
      <c r="H61" s="258">
        <f>IFERROR(VLOOKUP(H59,'1 - Strom Erdgas Wärme Vgl'!H:AA,18,FALSE),"")</f>
        <v>0</v>
      </c>
      <c r="I61" s="49"/>
      <c r="J61" s="50"/>
      <c r="K61" s="50"/>
      <c r="L61" s="50"/>
      <c r="M61" s="50"/>
      <c r="N61" s="50"/>
      <c r="O61" s="33" t="s">
        <v>4</v>
      </c>
      <c r="P61" s="109" t="s">
        <v>11</v>
      </c>
      <c r="Q61" s="46"/>
      <c r="R61" s="46"/>
      <c r="S61" s="46"/>
      <c r="T61" s="46"/>
      <c r="U61" s="46"/>
      <c r="V61" s="32"/>
    </row>
    <row r="62" spans="1:24" s="34" customFormat="1" ht="17.25" thickBot="1" x14ac:dyDescent="0.35">
      <c r="A62" s="25"/>
      <c r="B62" s="109" t="str" cm="1">
        <f t="array" ref="B62">_xlfn.IFS(OR(ISBLANK(H61),H61=0),"Bitte Energieart auswählen!",TRUE(),"Arbeitspreis pro kWh " &amp; H61 &amp; " in EUR")</f>
        <v>Bitte Energieart auswählen!</v>
      </c>
      <c r="C62" s="109"/>
      <c r="D62" s="118"/>
      <c r="E62" s="118"/>
      <c r="F62" s="118"/>
      <c r="G62" s="138">
        <f>IFERROR(SUMPRODUCT(I62:N62,I63:N63),"")</f>
        <v>0</v>
      </c>
      <c r="H62" s="109"/>
      <c r="I62" s="267"/>
      <c r="J62" s="267"/>
      <c r="K62" s="267"/>
      <c r="L62" s="267"/>
      <c r="M62" s="267"/>
      <c r="N62" s="267"/>
      <c r="O62" s="33" t="s">
        <v>4</v>
      </c>
      <c r="P62" s="109" t="str">
        <f>IF(OR(ISBLANK(H61),H61=0),"Bitte Energieart auswählen!",H61 &amp; "kosten exkl. Steuern, Abgaben, Netzentgelte, etc.")</f>
        <v>Bitte Energieart auswählen!</v>
      </c>
      <c r="Q62" s="32"/>
      <c r="R62" s="32"/>
      <c r="S62" s="51"/>
      <c r="T62" s="38"/>
      <c r="U62" s="39"/>
      <c r="V62" s="32"/>
    </row>
    <row r="63" spans="1:24" s="34" customFormat="1" ht="17.25" thickBot="1" x14ac:dyDescent="0.35">
      <c r="A63" s="25"/>
      <c r="B63" s="109" t="str">
        <f>IF(OR(ISBLANK(H61),H61=0),"Bitte Energieart auswählen!",IF(H60="Nein","Aliquoter ","") &amp; H61 &amp;"verbrauch in kWh " &amp; par_FZ_Text)</f>
        <v>Bitte Energieart auswählen!</v>
      </c>
      <c r="C63" s="109"/>
      <c r="D63" s="118"/>
      <c r="E63" s="118"/>
      <c r="F63" s="118"/>
      <c r="G63" s="118"/>
      <c r="H63" s="126">
        <f>SUM(I63:N63)</f>
        <v>0</v>
      </c>
      <c r="I63" s="259" t="str">
        <f>IFERROR(IF($H60="Nein",VLOOKUP(CONCATENATE($H59,"_",$H61),'1 - Strom Erdgas Wärme Vgl'!$W:$AA,5,FALSE)/par_VZ_Monate,""),"")</f>
        <v/>
      </c>
      <c r="J63" s="259" t="str">
        <f>IFERROR(IF($H60="Nein",VLOOKUP(CONCATENATE($H59,"_",$H61),'1 - Strom Erdgas Wärme Vgl'!$W:$AA,5,FALSE)/par_VZ_Monate,""),"")</f>
        <v/>
      </c>
      <c r="K63" s="259" t="str">
        <f>IFERROR(IF($H60="Nein",VLOOKUP(CONCATENATE($H59,"_",$H61),'1 - Strom Erdgas Wärme Vgl'!$W:$AA,5,FALSE)/par_VZ_Monate,""),"")</f>
        <v/>
      </c>
      <c r="L63" s="259" t="str">
        <f>IFERROR(IF($H60="Nein",VLOOKUP(CONCATENATE($H59,"_",$H61),'1 - Strom Erdgas Wärme Vgl'!$W:$AA,5,FALSE)/par_VZ_Monate,""),"")</f>
        <v/>
      </c>
      <c r="M63" s="259" t="str">
        <f>IFERROR(IF($H60="Nein",VLOOKUP(CONCATENATE($H59,"_",$H61),'1 - Strom Erdgas Wärme Vgl'!$W:$AA,5,FALSE)/par_VZ_Monate,""),"")</f>
        <v/>
      </c>
      <c r="N63" s="259" t="str">
        <f>IFERROR(IF($H60="Nein",VLOOKUP(CONCATENATE($H59,"_",$H61),'1 - Strom Erdgas Wärme Vgl'!$W:$AA,5,FALSE)/par_VZ_Monate,""),"")</f>
        <v/>
      </c>
      <c r="O63" s="33" t="s">
        <v>4</v>
      </c>
      <c r="P63" s="135" t="str">
        <f>IFERROR(IF(H60="Nein","Vorbefüllte Verbrauchswerte wurden aliquot (d.h. 1/" &amp; par_VZ_Monate &amp; ") aus dem Jahr " &amp; par_Jahr1 &amp; " übernommen.","Bitte ergänzen Sie die monatlichen Verbrauchswerte gem. Lastprofilzähler"),"")</f>
        <v>Bitte ergänzen Sie die monatlichen Verbrauchswerte gem. Lastprofilzähler</v>
      </c>
      <c r="Q63" s="52"/>
      <c r="R63" s="52"/>
      <c r="S63" s="52"/>
      <c r="T63" s="52"/>
      <c r="U63" s="52"/>
      <c r="V63" s="52"/>
    </row>
    <row r="64" spans="1:24" x14ac:dyDescent="0.3">
      <c r="B64" s="109" t="str">
        <f>IF(H61="Wärme/Kälte","Energiemix: Anteil in % der aus Strom oder Erdgas erzeugten Wärme/Kälte","")</f>
        <v/>
      </c>
      <c r="C64" s="31"/>
      <c r="D64" s="65"/>
      <c r="E64" s="65"/>
      <c r="F64" s="86">
        <f>IFERROR(SUMPRODUCT(I64:N64,I63:N63),"")</f>
        <v>0</v>
      </c>
      <c r="G64" s="86"/>
      <c r="H64" s="31"/>
      <c r="I64" s="268"/>
      <c r="J64" s="269"/>
      <c r="K64" s="268"/>
      <c r="L64" s="269"/>
      <c r="M64" s="268"/>
      <c r="N64" s="269"/>
      <c r="O64" s="33" t="str">
        <f>IF(H61="Wärme/Kälte","i","")</f>
        <v/>
      </c>
      <c r="P64" s="109" t="str">
        <f>IF(H61="Wärme/Kälte","Bitte geben Sie den Anteil in % (von 0 bis 100, ohne Prozentzeichen) der direkt aus Strom oder Erdgas erzeugten Wärme/Kälte.","")</f>
        <v/>
      </c>
      <c r="Q64" s="31"/>
      <c r="R64" s="31"/>
      <c r="S64" s="31"/>
      <c r="T64" s="31"/>
      <c r="U64" s="31"/>
      <c r="V64" s="31"/>
      <c r="W64" s="34"/>
      <c r="X64" s="34"/>
    </row>
    <row r="65" spans="1:24" x14ac:dyDescent="0.3">
      <c r="B65" s="31"/>
      <c r="C65" s="31"/>
      <c r="D65" s="65"/>
      <c r="E65" s="65"/>
      <c r="F65" s="65"/>
      <c r="G65" s="65"/>
      <c r="H65" s="31"/>
      <c r="I65" s="31"/>
      <c r="J65" s="31"/>
      <c r="K65" s="31"/>
      <c r="L65" s="31"/>
      <c r="M65" s="31"/>
      <c r="N65" s="31"/>
      <c r="O65" s="33"/>
      <c r="P65" s="32"/>
      <c r="Q65" s="31"/>
      <c r="R65" s="31"/>
      <c r="S65" s="31"/>
      <c r="T65" s="31"/>
      <c r="U65" s="31"/>
      <c r="V65" s="31"/>
      <c r="W65" s="34"/>
      <c r="X65" s="34"/>
    </row>
    <row r="66" spans="1:24" s="34" customFormat="1" ht="19.5" thickBot="1" x14ac:dyDescent="0.45">
      <c r="A66" s="25"/>
      <c r="B66" s="36" t="s">
        <v>6</v>
      </c>
      <c r="C66" s="109"/>
      <c r="D66" s="118"/>
      <c r="E66" s="118"/>
      <c r="F66" s="118"/>
      <c r="G66" s="118"/>
      <c r="H66" s="109"/>
      <c r="I66" s="136">
        <f>par_FZ_SEW_Start</f>
        <v>44927</v>
      </c>
      <c r="J66" s="136">
        <f>EOMONTH(I66,0)+1</f>
        <v>44958</v>
      </c>
      <c r="K66" s="136">
        <f t="shared" ref="K66" si="9">EOMONTH(J66,0)+1</f>
        <v>44986</v>
      </c>
      <c r="L66" s="136">
        <f t="shared" ref="L66" si="10">EOMONTH(K66,0)+1</f>
        <v>45017</v>
      </c>
      <c r="M66" s="136">
        <f t="shared" ref="M66" si="11">EOMONTH(L66,0)+1</f>
        <v>45047</v>
      </c>
      <c r="N66" s="136">
        <f t="shared" ref="N66" si="12">EOMONTH(M66,0)+1</f>
        <v>45078</v>
      </c>
      <c r="O66" s="32"/>
      <c r="P66" s="46"/>
      <c r="Q66" s="46"/>
      <c r="R66" s="46"/>
      <c r="S66" s="46"/>
      <c r="T66" s="46"/>
      <c r="U66" s="46"/>
      <c r="V66" s="32"/>
    </row>
    <row r="67" spans="1:24" s="34" customFormat="1" ht="17.25" thickBot="1" x14ac:dyDescent="0.35">
      <c r="A67" s="25"/>
      <c r="B67" s="109" t="s">
        <v>204</v>
      </c>
      <c r="C67" s="109"/>
      <c r="D67" s="118"/>
      <c r="E67" s="118"/>
      <c r="F67" s="118"/>
      <c r="G67" s="118"/>
      <c r="H67" s="266"/>
      <c r="I67" s="47"/>
      <c r="J67" s="48"/>
      <c r="K67" s="48"/>
      <c r="L67" s="48"/>
      <c r="M67" s="48"/>
      <c r="N67" s="48"/>
      <c r="O67" s="33" t="s">
        <v>4</v>
      </c>
      <c r="P67" s="109" t="s">
        <v>21</v>
      </c>
      <c r="Q67" s="46"/>
      <c r="R67" s="46"/>
      <c r="S67" s="46"/>
      <c r="T67" s="46"/>
      <c r="U67" s="46"/>
      <c r="V67" s="32"/>
    </row>
    <row r="68" spans="1:24" s="34" customFormat="1" ht="17.25" thickBot="1" x14ac:dyDescent="0.35">
      <c r="A68" s="25"/>
      <c r="B68" s="109" t="s">
        <v>8</v>
      </c>
      <c r="C68" s="109"/>
      <c r="D68" s="118"/>
      <c r="E68" s="118"/>
      <c r="F68" s="118"/>
      <c r="G68" s="118"/>
      <c r="H68" s="137">
        <f>IFERROR(VLOOKUP(H67,'1 - Strom Erdgas Wärme Vgl'!H:AA,17,FALSE),"")</f>
        <v>0</v>
      </c>
      <c r="I68" s="47"/>
      <c r="J68" s="48"/>
      <c r="K68" s="48"/>
      <c r="L68" s="48"/>
      <c r="M68" s="48"/>
      <c r="N68" s="48"/>
      <c r="O68" s="33"/>
      <c r="P68" s="109"/>
      <c r="Q68" s="46"/>
      <c r="R68" s="46"/>
      <c r="S68" s="46"/>
      <c r="T68" s="46"/>
      <c r="U68" s="46"/>
      <c r="V68" s="32"/>
    </row>
    <row r="69" spans="1:24" s="34" customFormat="1" ht="17.25" thickBot="1" x14ac:dyDescent="0.35">
      <c r="A69" s="25"/>
      <c r="B69" s="109" t="s">
        <v>10</v>
      </c>
      <c r="C69" s="109"/>
      <c r="D69" s="118"/>
      <c r="E69" s="118"/>
      <c r="F69" s="118"/>
      <c r="G69" s="118"/>
      <c r="H69" s="258">
        <f>IFERROR(VLOOKUP(H67,'1 - Strom Erdgas Wärme Vgl'!H:AA,18,FALSE),"")</f>
        <v>0</v>
      </c>
      <c r="I69" s="49"/>
      <c r="J69" s="50"/>
      <c r="K69" s="50"/>
      <c r="L69" s="50"/>
      <c r="M69" s="50"/>
      <c r="N69" s="50"/>
      <c r="O69" s="33" t="s">
        <v>4</v>
      </c>
      <c r="P69" s="109" t="s">
        <v>11</v>
      </c>
      <c r="Q69" s="46"/>
      <c r="R69" s="46"/>
      <c r="S69" s="46"/>
      <c r="T69" s="46"/>
      <c r="U69" s="46"/>
      <c r="V69" s="32"/>
    </row>
    <row r="70" spans="1:24" s="34" customFormat="1" ht="17.25" thickBot="1" x14ac:dyDescent="0.35">
      <c r="A70" s="25"/>
      <c r="B70" s="109" t="str" cm="1">
        <f t="array" ref="B70">_xlfn.IFS(OR(ISBLANK(H69),H69=0),"Bitte Energieart auswählen!",TRUE(),"Arbeitspreis pro kWh " &amp; H69 &amp; " in EUR")</f>
        <v>Bitte Energieart auswählen!</v>
      </c>
      <c r="C70" s="109"/>
      <c r="D70" s="118"/>
      <c r="E70" s="118"/>
      <c r="F70" s="118"/>
      <c r="G70" s="138">
        <f>IFERROR(SUMPRODUCT(I70:N70,I71:N71),"")</f>
        <v>0</v>
      </c>
      <c r="H70" s="109"/>
      <c r="I70" s="267"/>
      <c r="J70" s="267"/>
      <c r="K70" s="267"/>
      <c r="L70" s="267"/>
      <c r="M70" s="267"/>
      <c r="N70" s="267"/>
      <c r="O70" s="33" t="s">
        <v>4</v>
      </c>
      <c r="P70" s="109" t="str">
        <f>IF(OR(ISBLANK(H69),H69=0),"Bitte Energieart auswählen!",H69 &amp; "kosten exkl. Steuern, Abgaben, Netzentgelte, etc.")</f>
        <v>Bitte Energieart auswählen!</v>
      </c>
      <c r="Q70" s="32"/>
      <c r="R70" s="32"/>
      <c r="S70" s="51"/>
      <c r="T70" s="38"/>
      <c r="U70" s="39"/>
      <c r="V70" s="32"/>
    </row>
    <row r="71" spans="1:24" s="34" customFormat="1" ht="17.25" thickBot="1" x14ac:dyDescent="0.35">
      <c r="A71" s="25"/>
      <c r="B71" s="109" t="str">
        <f>IF(OR(ISBLANK(H69),H69=0),"Bitte Energieart auswählen!",IF(H68="Nein","Aliquoter ","") &amp; H69 &amp;"verbrauch in kWh " &amp; par_FZ_Text)</f>
        <v>Bitte Energieart auswählen!</v>
      </c>
      <c r="C71" s="109"/>
      <c r="D71" s="118"/>
      <c r="E71" s="118"/>
      <c r="F71" s="118"/>
      <c r="G71" s="118"/>
      <c r="H71" s="126">
        <f>SUM(I71:N71)</f>
        <v>0</v>
      </c>
      <c r="I71" s="259" t="str">
        <f>IFERROR(IF($H68="Nein",VLOOKUP(CONCATENATE($H67,"_",$H69),'1 - Strom Erdgas Wärme Vgl'!$W:$AA,5,FALSE)/par_VZ_Monate,""),"")</f>
        <v/>
      </c>
      <c r="J71" s="259" t="str">
        <f>IFERROR(IF($H68="Nein",VLOOKUP(CONCATENATE($H67,"_",$H69),'1 - Strom Erdgas Wärme Vgl'!$W:$AA,5,FALSE)/par_VZ_Monate,""),"")</f>
        <v/>
      </c>
      <c r="K71" s="259" t="str">
        <f>IFERROR(IF($H68="Nein",VLOOKUP(CONCATENATE($H67,"_",$H69),'1 - Strom Erdgas Wärme Vgl'!$W:$AA,5,FALSE)/par_VZ_Monate,""),"")</f>
        <v/>
      </c>
      <c r="L71" s="259" t="str">
        <f>IFERROR(IF($H68="Nein",VLOOKUP(CONCATENATE($H67,"_",$H69),'1 - Strom Erdgas Wärme Vgl'!$W:$AA,5,FALSE)/par_VZ_Monate,""),"")</f>
        <v/>
      </c>
      <c r="M71" s="259" t="str">
        <f>IFERROR(IF($H68="Nein",VLOOKUP(CONCATENATE($H67,"_",$H69),'1 - Strom Erdgas Wärme Vgl'!$W:$AA,5,FALSE)/par_VZ_Monate,""),"")</f>
        <v/>
      </c>
      <c r="N71" s="259" t="str">
        <f>IFERROR(IF($H68="Nein",VLOOKUP(CONCATENATE($H67,"_",$H69),'1 - Strom Erdgas Wärme Vgl'!$W:$AA,5,FALSE)/par_VZ_Monate,""),"")</f>
        <v/>
      </c>
      <c r="O71" s="33" t="s">
        <v>4</v>
      </c>
      <c r="P71" s="135" t="str">
        <f>IFERROR(IF(H68="Nein","Vorbefüllte Verbrauchswerte wurden aliquot (d.h. 1/" &amp; par_VZ_Monate &amp; ") aus dem Jahr " &amp; par_Jahr1 &amp; " übernommen.","Bitte ergänzen Sie die monatlichen Verbrauchswerte gem. Lastprofilzähler"),"")</f>
        <v>Bitte ergänzen Sie die monatlichen Verbrauchswerte gem. Lastprofilzähler</v>
      </c>
      <c r="Q71" s="52"/>
      <c r="R71" s="52"/>
      <c r="S71" s="52"/>
      <c r="T71" s="52"/>
      <c r="U71" s="52"/>
      <c r="V71" s="52"/>
    </row>
    <row r="72" spans="1:24" x14ac:dyDescent="0.3">
      <c r="B72" s="109" t="str">
        <f>IF(H69="Wärme/Kälte","Energiemix: Anteil in % der aus Strom oder Erdgas erzeugten Wärme/Kälte","")</f>
        <v/>
      </c>
      <c r="C72" s="31"/>
      <c r="D72" s="65"/>
      <c r="E72" s="65"/>
      <c r="F72" s="86">
        <f>IFERROR(SUMPRODUCT(I72:N72,I71:N71),"")</f>
        <v>0</v>
      </c>
      <c r="G72" s="86"/>
      <c r="H72" s="31"/>
      <c r="I72" s="268"/>
      <c r="J72" s="269"/>
      <c r="K72" s="268"/>
      <c r="L72" s="269"/>
      <c r="M72" s="268"/>
      <c r="N72" s="269"/>
      <c r="O72" s="33" t="str">
        <f>IF(H69="Wärme/Kälte","i","")</f>
        <v/>
      </c>
      <c r="P72" s="109" t="str">
        <f>IF(H69="Wärme/Kälte","Bitte geben Sie den Anteil in % (von 0 bis 100, ohne Prozentzeichen) der direkt aus Strom oder Erdgas erzeugten Wärme/Kälte.","")</f>
        <v/>
      </c>
      <c r="Q72" s="31"/>
      <c r="R72" s="31"/>
      <c r="S72" s="31"/>
      <c r="T72" s="31"/>
      <c r="U72" s="31"/>
      <c r="V72" s="31"/>
      <c r="W72" s="34"/>
      <c r="X72" s="34"/>
    </row>
    <row r="73" spans="1:24" x14ac:dyDescent="0.3">
      <c r="B73" s="31"/>
      <c r="C73" s="31"/>
      <c r="D73" s="65"/>
      <c r="E73" s="65"/>
      <c r="F73" s="65"/>
      <c r="G73" s="65"/>
      <c r="H73" s="31"/>
      <c r="I73" s="31"/>
      <c r="J73" s="31"/>
      <c r="K73" s="31"/>
      <c r="L73" s="31"/>
      <c r="M73" s="31"/>
      <c r="N73" s="31"/>
      <c r="O73" s="33"/>
      <c r="P73" s="32"/>
      <c r="Q73" s="31"/>
      <c r="R73" s="31"/>
      <c r="S73" s="31"/>
      <c r="T73" s="31"/>
      <c r="U73" s="31"/>
      <c r="V73" s="31"/>
      <c r="W73" s="34"/>
      <c r="X73" s="34"/>
    </row>
    <row r="74" spans="1:24" s="34" customFormat="1" ht="19.5" thickBot="1" x14ac:dyDescent="0.45">
      <c r="A74" s="25"/>
      <c r="B74" s="36" t="s">
        <v>6</v>
      </c>
      <c r="C74" s="109"/>
      <c r="D74" s="118"/>
      <c r="E74" s="118"/>
      <c r="F74" s="118"/>
      <c r="G74" s="118"/>
      <c r="H74" s="109"/>
      <c r="I74" s="136">
        <f>par_FZ_SEW_Start</f>
        <v>44927</v>
      </c>
      <c r="J74" s="136">
        <f>EOMONTH(I74,0)+1</f>
        <v>44958</v>
      </c>
      <c r="K74" s="136">
        <f t="shared" ref="K74" si="13">EOMONTH(J74,0)+1</f>
        <v>44986</v>
      </c>
      <c r="L74" s="136">
        <f t="shared" ref="L74" si="14">EOMONTH(K74,0)+1</f>
        <v>45017</v>
      </c>
      <c r="M74" s="136">
        <f t="shared" ref="M74" si="15">EOMONTH(L74,0)+1</f>
        <v>45047</v>
      </c>
      <c r="N74" s="136">
        <f t="shared" ref="N74" si="16">EOMONTH(M74,0)+1</f>
        <v>45078</v>
      </c>
      <c r="O74" s="32"/>
      <c r="P74" s="46"/>
      <c r="Q74" s="46"/>
      <c r="R74" s="46"/>
      <c r="S74" s="46"/>
      <c r="T74" s="46"/>
      <c r="U74" s="46"/>
      <c r="V74" s="32"/>
    </row>
    <row r="75" spans="1:24" s="34" customFormat="1" ht="17.25" thickBot="1" x14ac:dyDescent="0.35">
      <c r="A75" s="25"/>
      <c r="B75" s="109" t="s">
        <v>204</v>
      </c>
      <c r="C75" s="109"/>
      <c r="D75" s="118"/>
      <c r="E75" s="118"/>
      <c r="F75" s="118"/>
      <c r="G75" s="118"/>
      <c r="H75" s="266"/>
      <c r="I75" s="47"/>
      <c r="J75" s="48"/>
      <c r="K75" s="48"/>
      <c r="L75" s="48"/>
      <c r="M75" s="48"/>
      <c r="N75" s="48"/>
      <c r="O75" s="33" t="s">
        <v>4</v>
      </c>
      <c r="P75" s="109" t="s">
        <v>21</v>
      </c>
      <c r="Q75" s="46"/>
      <c r="R75" s="46"/>
      <c r="S75" s="46"/>
      <c r="T75" s="46"/>
      <c r="U75" s="46"/>
      <c r="V75" s="32"/>
    </row>
    <row r="76" spans="1:24" s="34" customFormat="1" ht="17.25" thickBot="1" x14ac:dyDescent="0.35">
      <c r="A76" s="25"/>
      <c r="B76" s="109" t="s">
        <v>8</v>
      </c>
      <c r="C76" s="109"/>
      <c r="D76" s="118"/>
      <c r="E76" s="118"/>
      <c r="F76" s="118"/>
      <c r="G76" s="118"/>
      <c r="H76" s="137">
        <f>IFERROR(VLOOKUP(H75,'1 - Strom Erdgas Wärme Vgl'!H:AA,17,FALSE),"")</f>
        <v>0</v>
      </c>
      <c r="I76" s="47"/>
      <c r="J76" s="48"/>
      <c r="K76" s="48"/>
      <c r="L76" s="48"/>
      <c r="M76" s="48"/>
      <c r="N76" s="48"/>
      <c r="O76" s="33"/>
      <c r="P76" s="109"/>
      <c r="Q76" s="46"/>
      <c r="R76" s="46"/>
      <c r="S76" s="46"/>
      <c r="T76" s="46"/>
      <c r="U76" s="46"/>
      <c r="V76" s="32"/>
    </row>
    <row r="77" spans="1:24" s="34" customFormat="1" ht="17.25" thickBot="1" x14ac:dyDescent="0.35">
      <c r="A77" s="25"/>
      <c r="B77" s="109" t="s">
        <v>10</v>
      </c>
      <c r="C77" s="109"/>
      <c r="D77" s="118"/>
      <c r="E77" s="118"/>
      <c r="F77" s="118"/>
      <c r="G77" s="118"/>
      <c r="H77" s="258">
        <f>IFERROR(VLOOKUP(H75,'1 - Strom Erdgas Wärme Vgl'!H:AA,18,FALSE),"")</f>
        <v>0</v>
      </c>
      <c r="I77" s="49"/>
      <c r="J77" s="50"/>
      <c r="K77" s="50"/>
      <c r="L77" s="50"/>
      <c r="M77" s="50"/>
      <c r="N77" s="50"/>
      <c r="O77" s="33" t="s">
        <v>4</v>
      </c>
      <c r="P77" s="109" t="s">
        <v>11</v>
      </c>
      <c r="Q77" s="46"/>
      <c r="R77" s="46"/>
      <c r="S77" s="46"/>
      <c r="T77" s="46"/>
      <c r="U77" s="46"/>
      <c r="V77" s="32"/>
    </row>
    <row r="78" spans="1:24" s="34" customFormat="1" ht="17.25" thickBot="1" x14ac:dyDescent="0.35">
      <c r="A78" s="25"/>
      <c r="B78" s="109" t="str" cm="1">
        <f t="array" ref="B78">_xlfn.IFS(OR(ISBLANK(H77),H77=0),"Bitte Energieart auswählen!",TRUE(),"Arbeitspreis pro kWh " &amp; H77 &amp; " in EUR")</f>
        <v>Bitte Energieart auswählen!</v>
      </c>
      <c r="C78" s="109"/>
      <c r="D78" s="118"/>
      <c r="E78" s="118"/>
      <c r="F78" s="118"/>
      <c r="G78" s="138">
        <f>IFERROR(SUMPRODUCT(I78:N78,I79:N79),"")</f>
        <v>0</v>
      </c>
      <c r="H78" s="109"/>
      <c r="I78" s="267"/>
      <c r="J78" s="267"/>
      <c r="K78" s="267"/>
      <c r="L78" s="267"/>
      <c r="M78" s="267"/>
      <c r="N78" s="267"/>
      <c r="O78" s="33" t="s">
        <v>4</v>
      </c>
      <c r="P78" s="109" t="str">
        <f>IF(OR(ISBLANK(H77),H77=0),"Bitte Energieart auswählen!",H77 &amp; "kosten exkl. Steuern, Abgaben, Netzentgelte, etc.")</f>
        <v>Bitte Energieart auswählen!</v>
      </c>
      <c r="Q78" s="32"/>
      <c r="R78" s="32"/>
      <c r="S78" s="51"/>
      <c r="T78" s="38"/>
      <c r="U78" s="39"/>
      <c r="V78" s="32"/>
    </row>
    <row r="79" spans="1:24" s="34" customFormat="1" ht="17.25" thickBot="1" x14ac:dyDescent="0.35">
      <c r="A79" s="25"/>
      <c r="B79" s="109" t="str">
        <f>IF(OR(ISBLANK(H77),H77=0),"Bitte Energieart auswählen!",IF(H76="Nein","Aliquoter ","") &amp; H77 &amp;"verbrauch in kWh " &amp; par_FZ_Text)</f>
        <v>Bitte Energieart auswählen!</v>
      </c>
      <c r="C79" s="109"/>
      <c r="D79" s="118"/>
      <c r="E79" s="118"/>
      <c r="F79" s="118"/>
      <c r="G79" s="118"/>
      <c r="H79" s="126">
        <f>SUM(I79:N79)</f>
        <v>0</v>
      </c>
      <c r="I79" s="259" t="str">
        <f>IFERROR(IF($H76="Nein",VLOOKUP(CONCATENATE($H75,"_",$H77),'1 - Strom Erdgas Wärme Vgl'!$W:$AA,5,FALSE)/par_VZ_Monate,""),"")</f>
        <v/>
      </c>
      <c r="J79" s="259" t="str">
        <f>IFERROR(IF($H76="Nein",VLOOKUP(CONCATENATE($H75,"_",$H77),'1 - Strom Erdgas Wärme Vgl'!$W:$AA,5,FALSE)/par_VZ_Monate,""),"")</f>
        <v/>
      </c>
      <c r="K79" s="259" t="str">
        <f>IFERROR(IF($H76="Nein",VLOOKUP(CONCATENATE($H75,"_",$H77),'1 - Strom Erdgas Wärme Vgl'!$W:$AA,5,FALSE)/par_VZ_Monate,""),"")</f>
        <v/>
      </c>
      <c r="L79" s="259" t="str">
        <f>IFERROR(IF($H76="Nein",VLOOKUP(CONCATENATE($H75,"_",$H77),'1 - Strom Erdgas Wärme Vgl'!$W:$AA,5,FALSE)/par_VZ_Monate,""),"")</f>
        <v/>
      </c>
      <c r="M79" s="259" t="str">
        <f>IFERROR(IF($H76="Nein",VLOOKUP(CONCATENATE($H75,"_",$H77),'1 - Strom Erdgas Wärme Vgl'!$W:$AA,5,FALSE)/par_VZ_Monate,""),"")</f>
        <v/>
      </c>
      <c r="N79" s="259" t="str">
        <f>IFERROR(IF($H76="Nein",VLOOKUP(CONCATENATE($H75,"_",$H77),'1 - Strom Erdgas Wärme Vgl'!$W:$AA,5,FALSE)/par_VZ_Monate,""),"")</f>
        <v/>
      </c>
      <c r="O79" s="33" t="s">
        <v>4</v>
      </c>
      <c r="P79" s="135" t="str">
        <f>IFERROR(IF(H76="Nein","Vorbefüllte Verbrauchswerte wurden aliquot (d.h. 1/" &amp; par_VZ_Monate &amp; ") aus dem Jahr " &amp; par_Jahr1 &amp; " übernommen.","Bitte ergänzen Sie die monatlichen Verbrauchswerte gem. Lastprofilzähler"),"")</f>
        <v>Bitte ergänzen Sie die monatlichen Verbrauchswerte gem. Lastprofilzähler</v>
      </c>
      <c r="Q79" s="52"/>
      <c r="R79" s="52"/>
      <c r="S79" s="52"/>
      <c r="T79" s="52"/>
      <c r="U79" s="52"/>
      <c r="V79" s="52"/>
    </row>
    <row r="80" spans="1:24" x14ac:dyDescent="0.3">
      <c r="B80" s="109" t="str">
        <f>IF(H77="Wärme/Kälte","Energiemix: Anteil in % der aus Strom oder Erdgas erzeugten Wärme/Kälte","")</f>
        <v/>
      </c>
      <c r="C80" s="31"/>
      <c r="D80" s="65"/>
      <c r="E80" s="65"/>
      <c r="F80" s="86">
        <f>IFERROR(SUMPRODUCT(I80:N80,I79:N79),"")</f>
        <v>0</v>
      </c>
      <c r="G80" s="86"/>
      <c r="H80" s="31"/>
      <c r="I80" s="268"/>
      <c r="J80" s="269"/>
      <c r="K80" s="268"/>
      <c r="L80" s="269"/>
      <c r="M80" s="268"/>
      <c r="N80" s="269"/>
      <c r="O80" s="33" t="str">
        <f>IF(H77="Wärme/Kälte","i","")</f>
        <v/>
      </c>
      <c r="P80" s="109" t="str">
        <f>IF(H77="Wärme/Kälte","Bitte geben Sie den Anteil in % (von 0 bis 100, ohne Prozentzeichen) der direkt aus Strom oder Erdgas erzeugten Wärme/Kälte.","")</f>
        <v/>
      </c>
      <c r="Q80" s="31"/>
      <c r="R80" s="31"/>
      <c r="S80" s="31"/>
      <c r="T80" s="31"/>
      <c r="U80" s="31"/>
      <c r="V80" s="31"/>
      <c r="W80" s="34"/>
      <c r="X80" s="34"/>
    </row>
    <row r="81" spans="1:24" x14ac:dyDescent="0.3">
      <c r="B81" s="31"/>
      <c r="C81" s="31"/>
      <c r="D81" s="65"/>
      <c r="E81" s="65"/>
      <c r="F81" s="65"/>
      <c r="G81" s="65"/>
      <c r="H81" s="31"/>
      <c r="I81" s="31"/>
      <c r="J81" s="31"/>
      <c r="K81" s="31"/>
      <c r="L81" s="31"/>
      <c r="M81" s="31"/>
      <c r="N81" s="31"/>
      <c r="O81" s="33"/>
      <c r="P81" s="32"/>
      <c r="Q81" s="31"/>
      <c r="R81" s="31"/>
      <c r="S81" s="31"/>
      <c r="T81" s="31"/>
      <c r="U81" s="31"/>
      <c r="V81" s="31"/>
      <c r="W81" s="34"/>
      <c r="X81" s="34"/>
    </row>
    <row r="82" spans="1:24" s="34" customFormat="1" ht="19.5" thickBot="1" x14ac:dyDescent="0.45">
      <c r="A82" s="25"/>
      <c r="B82" s="36" t="s">
        <v>6</v>
      </c>
      <c r="C82" s="109"/>
      <c r="D82" s="118"/>
      <c r="E82" s="118"/>
      <c r="F82" s="118"/>
      <c r="G82" s="118"/>
      <c r="H82" s="109"/>
      <c r="I82" s="136">
        <f>par_FZ_SEW_Start</f>
        <v>44927</v>
      </c>
      <c r="J82" s="136">
        <f>EOMONTH(I82,0)+1</f>
        <v>44958</v>
      </c>
      <c r="K82" s="136">
        <f t="shared" ref="K82" si="17">EOMONTH(J82,0)+1</f>
        <v>44986</v>
      </c>
      <c r="L82" s="136">
        <f t="shared" ref="L82" si="18">EOMONTH(K82,0)+1</f>
        <v>45017</v>
      </c>
      <c r="M82" s="136">
        <f t="shared" ref="M82" si="19">EOMONTH(L82,0)+1</f>
        <v>45047</v>
      </c>
      <c r="N82" s="136">
        <f t="shared" ref="N82" si="20">EOMONTH(M82,0)+1</f>
        <v>45078</v>
      </c>
      <c r="O82" s="32"/>
      <c r="P82" s="46"/>
      <c r="Q82" s="46"/>
      <c r="R82" s="46"/>
      <c r="S82" s="46"/>
      <c r="T82" s="46"/>
      <c r="U82" s="46"/>
      <c r="V82" s="32"/>
    </row>
    <row r="83" spans="1:24" s="34" customFormat="1" ht="17.25" thickBot="1" x14ac:dyDescent="0.35">
      <c r="A83" s="25"/>
      <c r="B83" s="109" t="s">
        <v>204</v>
      </c>
      <c r="C83" s="109"/>
      <c r="D83" s="118"/>
      <c r="E83" s="118"/>
      <c r="F83" s="118"/>
      <c r="G83" s="118"/>
      <c r="H83" s="266"/>
      <c r="I83" s="47"/>
      <c r="J83" s="48"/>
      <c r="K83" s="48"/>
      <c r="L83" s="48"/>
      <c r="M83" s="48"/>
      <c r="N83" s="48"/>
      <c r="O83" s="33" t="s">
        <v>4</v>
      </c>
      <c r="P83" s="109" t="s">
        <v>21</v>
      </c>
      <c r="Q83" s="46"/>
      <c r="R83" s="46"/>
      <c r="S83" s="46"/>
      <c r="T83" s="46"/>
      <c r="U83" s="46"/>
      <c r="V83" s="32"/>
    </row>
    <row r="84" spans="1:24" s="34" customFormat="1" ht="17.25" thickBot="1" x14ac:dyDescent="0.35">
      <c r="A84" s="25"/>
      <c r="B84" s="109" t="s">
        <v>8</v>
      </c>
      <c r="C84" s="109"/>
      <c r="D84" s="118"/>
      <c r="E84" s="118"/>
      <c r="F84" s="118"/>
      <c r="G84" s="118"/>
      <c r="H84" s="137">
        <f>IFERROR(VLOOKUP(H83,'1 - Strom Erdgas Wärme Vgl'!H:AA,17,FALSE),"")</f>
        <v>0</v>
      </c>
      <c r="I84" s="47"/>
      <c r="J84" s="48"/>
      <c r="K84" s="48"/>
      <c r="L84" s="48"/>
      <c r="M84" s="48"/>
      <c r="N84" s="48"/>
      <c r="O84" s="33"/>
      <c r="P84" s="109"/>
      <c r="Q84" s="46"/>
      <c r="R84" s="46"/>
      <c r="S84" s="46"/>
      <c r="T84" s="46"/>
      <c r="U84" s="46"/>
      <c r="V84" s="32"/>
    </row>
    <row r="85" spans="1:24" s="34" customFormat="1" ht="17.25" thickBot="1" x14ac:dyDescent="0.35">
      <c r="A85" s="25"/>
      <c r="B85" s="109" t="s">
        <v>10</v>
      </c>
      <c r="C85" s="109"/>
      <c r="D85" s="118"/>
      <c r="E85" s="118"/>
      <c r="F85" s="118"/>
      <c r="G85" s="118"/>
      <c r="H85" s="258">
        <f>IFERROR(VLOOKUP(H83,'1 - Strom Erdgas Wärme Vgl'!H:AA,18,FALSE),"")</f>
        <v>0</v>
      </c>
      <c r="I85" s="49"/>
      <c r="J85" s="50"/>
      <c r="K85" s="50"/>
      <c r="L85" s="50"/>
      <c r="M85" s="50"/>
      <c r="N85" s="50"/>
      <c r="O85" s="33" t="s">
        <v>4</v>
      </c>
      <c r="P85" s="109" t="s">
        <v>11</v>
      </c>
      <c r="Q85" s="46"/>
      <c r="R85" s="46"/>
      <c r="S85" s="46"/>
      <c r="T85" s="46"/>
      <c r="U85" s="46"/>
      <c r="V85" s="32"/>
    </row>
    <row r="86" spans="1:24" s="34" customFormat="1" ht="17.25" thickBot="1" x14ac:dyDescent="0.35">
      <c r="A86" s="25"/>
      <c r="B86" s="109" t="str" cm="1">
        <f t="array" ref="B86">_xlfn.IFS(OR(ISBLANK(H85),H85=0),"Bitte Energieart auswählen!",TRUE(),"Arbeitspreis pro kWh " &amp; H85 &amp; " in EUR")</f>
        <v>Bitte Energieart auswählen!</v>
      </c>
      <c r="C86" s="109"/>
      <c r="D86" s="118"/>
      <c r="E86" s="118"/>
      <c r="F86" s="118"/>
      <c r="G86" s="138">
        <f>IFERROR(SUMPRODUCT(I86:N86,I87:N87),"")</f>
        <v>0</v>
      </c>
      <c r="H86" s="109"/>
      <c r="I86" s="267"/>
      <c r="J86" s="267"/>
      <c r="K86" s="267"/>
      <c r="L86" s="267"/>
      <c r="M86" s="267"/>
      <c r="N86" s="267"/>
      <c r="O86" s="33" t="s">
        <v>4</v>
      </c>
      <c r="P86" s="109" t="str">
        <f>IF(OR(ISBLANK(H85),H85=0),"Bitte Energieart auswählen!",H85 &amp; "kosten exkl. Steuern, Abgaben, Netzentgelte, etc.")</f>
        <v>Bitte Energieart auswählen!</v>
      </c>
      <c r="Q86" s="32"/>
      <c r="R86" s="32"/>
      <c r="S86" s="51"/>
      <c r="T86" s="38"/>
      <c r="U86" s="39"/>
      <c r="V86" s="32"/>
    </row>
    <row r="87" spans="1:24" s="34" customFormat="1" ht="17.25" thickBot="1" x14ac:dyDescent="0.35">
      <c r="A87" s="25"/>
      <c r="B87" s="109" t="str">
        <f>IF(OR(ISBLANK(H85),H85=0),"Bitte Energieart auswählen!",IF(H84="Nein","Aliquoter ","") &amp; H85 &amp;"verbrauch in kWh " &amp; par_FZ_Text)</f>
        <v>Bitte Energieart auswählen!</v>
      </c>
      <c r="C87" s="109"/>
      <c r="D87" s="118"/>
      <c r="E87" s="118"/>
      <c r="F87" s="118"/>
      <c r="G87" s="118"/>
      <c r="H87" s="126">
        <f>SUM(I87:N87)</f>
        <v>0</v>
      </c>
      <c r="I87" s="259" t="str">
        <f>IFERROR(IF($H84="Nein",VLOOKUP(CONCATENATE($H83,"_",$H85),'1 - Strom Erdgas Wärme Vgl'!$W:$AA,5,FALSE)/par_VZ_Monate,""),"")</f>
        <v/>
      </c>
      <c r="J87" s="259" t="str">
        <f>IFERROR(IF($H84="Nein",VLOOKUP(CONCATENATE($H83,"_",$H85),'1 - Strom Erdgas Wärme Vgl'!$W:$AA,5,FALSE)/par_VZ_Monate,""),"")</f>
        <v/>
      </c>
      <c r="K87" s="259" t="str">
        <f>IFERROR(IF($H84="Nein",VLOOKUP(CONCATENATE($H83,"_",$H85),'1 - Strom Erdgas Wärme Vgl'!$W:$AA,5,FALSE)/par_VZ_Monate,""),"")</f>
        <v/>
      </c>
      <c r="L87" s="259" t="str">
        <f>IFERROR(IF($H84="Nein",VLOOKUP(CONCATENATE($H83,"_",$H85),'1 - Strom Erdgas Wärme Vgl'!$W:$AA,5,FALSE)/par_VZ_Monate,""),"")</f>
        <v/>
      </c>
      <c r="M87" s="259" t="str">
        <f>IFERROR(IF($H84="Nein",VLOOKUP(CONCATENATE($H83,"_",$H85),'1 - Strom Erdgas Wärme Vgl'!$W:$AA,5,FALSE)/par_VZ_Monate,""),"")</f>
        <v/>
      </c>
      <c r="N87" s="259" t="str">
        <f>IFERROR(IF($H84="Nein",VLOOKUP(CONCATENATE($H83,"_",$H85),'1 - Strom Erdgas Wärme Vgl'!$W:$AA,5,FALSE)/par_VZ_Monate,""),"")</f>
        <v/>
      </c>
      <c r="O87" s="33" t="s">
        <v>4</v>
      </c>
      <c r="P87" s="135" t="str">
        <f>IFERROR(IF(H84="Nein","Vorbefüllte Verbrauchswerte wurden aliquot (d.h. 1/" &amp; par_VZ_Monate &amp; ") aus dem Jahr " &amp; par_Jahr1 &amp; " übernommen.","Bitte ergänzen Sie die monatlichen Verbrauchswerte gem. Lastprofilzähler"),"")</f>
        <v>Bitte ergänzen Sie die monatlichen Verbrauchswerte gem. Lastprofilzähler</v>
      </c>
      <c r="Q87" s="52"/>
      <c r="R87" s="52"/>
      <c r="S87" s="52"/>
      <c r="T87" s="52"/>
      <c r="U87" s="52"/>
      <c r="V87" s="52"/>
    </row>
    <row r="88" spans="1:24" x14ac:dyDescent="0.3">
      <c r="B88" s="109" t="str">
        <f>IF(H85="Wärme/Kälte","Energiemix: Anteil in % der aus Strom oder Erdgas erzeugten Wärme/Kälte","")</f>
        <v/>
      </c>
      <c r="C88" s="31"/>
      <c r="D88" s="65"/>
      <c r="E88" s="65"/>
      <c r="F88" s="86">
        <f>IFERROR(SUMPRODUCT(I88:N88,I87:N87),"")</f>
        <v>0</v>
      </c>
      <c r="G88" s="86"/>
      <c r="H88" s="31"/>
      <c r="I88" s="268"/>
      <c r="J88" s="269"/>
      <c r="K88" s="268"/>
      <c r="L88" s="269"/>
      <c r="M88" s="268"/>
      <c r="N88" s="269"/>
      <c r="O88" s="33" t="str">
        <f>IF(H85="Wärme/Kälte","i","")</f>
        <v/>
      </c>
      <c r="P88" s="109" t="str">
        <f>IF(H85="Wärme/Kälte","Bitte geben Sie den Anteil in % (von 0 bis 100, ohne Prozentzeichen) der direkt aus Strom oder Erdgas erzeugten Wärme/Kälte.","")</f>
        <v/>
      </c>
      <c r="Q88" s="31"/>
      <c r="R88" s="31"/>
      <c r="S88" s="31"/>
      <c r="T88" s="31"/>
      <c r="U88" s="31"/>
      <c r="V88" s="31"/>
      <c r="W88" s="34"/>
      <c r="X88" s="34"/>
    </row>
    <row r="89" spans="1:24" x14ac:dyDescent="0.3">
      <c r="B89" s="31"/>
      <c r="C89" s="31"/>
      <c r="D89" s="65"/>
      <c r="E89" s="65"/>
      <c r="F89" s="65"/>
      <c r="G89" s="65"/>
      <c r="H89" s="31"/>
      <c r="I89" s="31"/>
      <c r="J89" s="31"/>
      <c r="K89" s="31"/>
      <c r="L89" s="31"/>
      <c r="M89" s="31"/>
      <c r="N89" s="31"/>
      <c r="O89" s="33"/>
      <c r="P89" s="32"/>
      <c r="Q89" s="31"/>
      <c r="R89" s="31"/>
      <c r="S89" s="31"/>
      <c r="T89" s="31"/>
      <c r="U89" s="31"/>
      <c r="V89" s="31"/>
      <c r="W89" s="34"/>
      <c r="X89" s="34"/>
    </row>
    <row r="90" spans="1:24" s="34" customFormat="1" ht="19.5" thickBot="1" x14ac:dyDescent="0.45">
      <c r="A90" s="25"/>
      <c r="B90" s="36" t="s">
        <v>6</v>
      </c>
      <c r="C90" s="109"/>
      <c r="D90" s="118"/>
      <c r="E90" s="118"/>
      <c r="F90" s="118"/>
      <c r="G90" s="118"/>
      <c r="H90" s="109"/>
      <c r="I90" s="136">
        <f>par_FZ_SEW_Start</f>
        <v>44927</v>
      </c>
      <c r="J90" s="136">
        <f>EOMONTH(I90,0)+1</f>
        <v>44958</v>
      </c>
      <c r="K90" s="136">
        <f t="shared" ref="K90" si="21">EOMONTH(J90,0)+1</f>
        <v>44986</v>
      </c>
      <c r="L90" s="136">
        <f t="shared" ref="L90" si="22">EOMONTH(K90,0)+1</f>
        <v>45017</v>
      </c>
      <c r="M90" s="136">
        <f t="shared" ref="M90" si="23">EOMONTH(L90,0)+1</f>
        <v>45047</v>
      </c>
      <c r="N90" s="136">
        <f t="shared" ref="N90" si="24">EOMONTH(M90,0)+1</f>
        <v>45078</v>
      </c>
      <c r="O90" s="32"/>
      <c r="P90" s="46"/>
      <c r="Q90" s="46"/>
      <c r="R90" s="46"/>
      <c r="S90" s="46"/>
      <c r="T90" s="46"/>
      <c r="U90" s="46"/>
      <c r="V90" s="32"/>
    </row>
    <row r="91" spans="1:24" s="34" customFormat="1" ht="17.25" thickBot="1" x14ac:dyDescent="0.35">
      <c r="A91" s="25"/>
      <c r="B91" s="109" t="s">
        <v>204</v>
      </c>
      <c r="C91" s="109"/>
      <c r="D91" s="118"/>
      <c r="E91" s="118"/>
      <c r="F91" s="118"/>
      <c r="G91" s="118"/>
      <c r="H91" s="266"/>
      <c r="I91" s="47"/>
      <c r="J91" s="48"/>
      <c r="K91" s="48"/>
      <c r="L91" s="48"/>
      <c r="M91" s="48"/>
      <c r="N91" s="48"/>
      <c r="O91" s="33" t="s">
        <v>4</v>
      </c>
      <c r="P91" s="109" t="s">
        <v>21</v>
      </c>
      <c r="Q91" s="46"/>
      <c r="R91" s="46"/>
      <c r="S91" s="46"/>
      <c r="T91" s="46"/>
      <c r="U91" s="46"/>
      <c r="V91" s="32"/>
    </row>
    <row r="92" spans="1:24" s="34" customFormat="1" ht="17.25" thickBot="1" x14ac:dyDescent="0.35">
      <c r="A92" s="25"/>
      <c r="B92" s="109" t="s">
        <v>8</v>
      </c>
      <c r="C92" s="109"/>
      <c r="D92" s="118"/>
      <c r="E92" s="118"/>
      <c r="F92" s="118"/>
      <c r="G92" s="118"/>
      <c r="H92" s="137">
        <f>IFERROR(VLOOKUP(H91,'1 - Strom Erdgas Wärme Vgl'!H:AA,17,FALSE),"")</f>
        <v>0</v>
      </c>
      <c r="I92" s="47"/>
      <c r="J92" s="48"/>
      <c r="K92" s="48"/>
      <c r="L92" s="48"/>
      <c r="M92" s="48"/>
      <c r="N92" s="48"/>
      <c r="O92" s="33"/>
      <c r="P92" s="109"/>
      <c r="Q92" s="46"/>
      <c r="R92" s="46"/>
      <c r="S92" s="46"/>
      <c r="T92" s="46"/>
      <c r="U92" s="46"/>
      <c r="V92" s="32"/>
    </row>
    <row r="93" spans="1:24" s="34" customFormat="1" ht="17.25" thickBot="1" x14ac:dyDescent="0.35">
      <c r="A93" s="25"/>
      <c r="B93" s="109" t="s">
        <v>10</v>
      </c>
      <c r="C93" s="109"/>
      <c r="D93" s="118"/>
      <c r="E93" s="118"/>
      <c r="F93" s="118"/>
      <c r="G93" s="118"/>
      <c r="H93" s="258">
        <f>IFERROR(VLOOKUP(H91,'1 - Strom Erdgas Wärme Vgl'!H:AA,18,FALSE),"")</f>
        <v>0</v>
      </c>
      <c r="I93" s="49"/>
      <c r="J93" s="50"/>
      <c r="K93" s="50"/>
      <c r="L93" s="50"/>
      <c r="M93" s="50"/>
      <c r="N93" s="50"/>
      <c r="O93" s="33" t="s">
        <v>4</v>
      </c>
      <c r="P93" s="109" t="s">
        <v>11</v>
      </c>
      <c r="Q93" s="46"/>
      <c r="R93" s="46"/>
      <c r="S93" s="46"/>
      <c r="T93" s="46"/>
      <c r="U93" s="46"/>
      <c r="V93" s="32"/>
    </row>
    <row r="94" spans="1:24" s="34" customFormat="1" ht="17.25" thickBot="1" x14ac:dyDescent="0.35">
      <c r="A94" s="25"/>
      <c r="B94" s="109" t="str" cm="1">
        <f t="array" ref="B94">_xlfn.IFS(OR(ISBLANK(H93),H93=0),"Bitte Energieart auswählen!",TRUE(),"Arbeitspreis pro kWh " &amp; H93 &amp; " in EUR")</f>
        <v>Bitte Energieart auswählen!</v>
      </c>
      <c r="C94" s="109"/>
      <c r="D94" s="118"/>
      <c r="E94" s="118"/>
      <c r="F94" s="118"/>
      <c r="G94" s="138">
        <f>IFERROR(SUMPRODUCT(I94:N94,I95:N95),"")</f>
        <v>0</v>
      </c>
      <c r="H94" s="109"/>
      <c r="I94" s="267"/>
      <c r="J94" s="267"/>
      <c r="K94" s="267"/>
      <c r="L94" s="267"/>
      <c r="M94" s="267"/>
      <c r="N94" s="267"/>
      <c r="O94" s="33" t="s">
        <v>4</v>
      </c>
      <c r="P94" s="109" t="str">
        <f>IF(OR(ISBLANK(H93),H93=0),"Bitte Energieart auswählen!",H93 &amp; "kosten exkl. Steuern, Abgaben, Netzentgelte, etc.")</f>
        <v>Bitte Energieart auswählen!</v>
      </c>
      <c r="Q94" s="32"/>
      <c r="R94" s="32"/>
      <c r="S94" s="51"/>
      <c r="T94" s="38"/>
      <c r="U94" s="39"/>
      <c r="V94" s="32"/>
    </row>
    <row r="95" spans="1:24" s="34" customFormat="1" ht="17.25" thickBot="1" x14ac:dyDescent="0.35">
      <c r="A95" s="25"/>
      <c r="B95" s="109" t="str">
        <f>IF(OR(ISBLANK(H93),H93=0),"Bitte Energieart auswählen!",IF(H92="Nein","Aliquoter ","") &amp; H93 &amp;"verbrauch in kWh " &amp; par_FZ_Text)</f>
        <v>Bitte Energieart auswählen!</v>
      </c>
      <c r="C95" s="109"/>
      <c r="D95" s="118"/>
      <c r="E95" s="118"/>
      <c r="F95" s="118"/>
      <c r="G95" s="118"/>
      <c r="H95" s="126">
        <f>SUM(I95:N95)</f>
        <v>0</v>
      </c>
      <c r="I95" s="259" t="str">
        <f>IFERROR(IF($H92="Nein",VLOOKUP(CONCATENATE($H91,"_",$H93),'1 - Strom Erdgas Wärme Vgl'!$W:$AA,5,FALSE)/par_VZ_Monate,""),"")</f>
        <v/>
      </c>
      <c r="J95" s="259" t="str">
        <f>IFERROR(IF($H92="Nein",VLOOKUP(CONCATENATE($H91,"_",$H93),'1 - Strom Erdgas Wärme Vgl'!$W:$AA,5,FALSE)/par_VZ_Monate,""),"")</f>
        <v/>
      </c>
      <c r="K95" s="259" t="str">
        <f>IFERROR(IF($H92="Nein",VLOOKUP(CONCATENATE($H91,"_",$H93),'1 - Strom Erdgas Wärme Vgl'!$W:$AA,5,FALSE)/par_VZ_Monate,""),"")</f>
        <v/>
      </c>
      <c r="L95" s="259" t="str">
        <f>IFERROR(IF($H92="Nein",VLOOKUP(CONCATENATE($H91,"_",$H93),'1 - Strom Erdgas Wärme Vgl'!$W:$AA,5,FALSE)/par_VZ_Monate,""),"")</f>
        <v/>
      </c>
      <c r="M95" s="259" t="str">
        <f>IFERROR(IF($H92="Nein",VLOOKUP(CONCATENATE($H91,"_",$H93),'1 - Strom Erdgas Wärme Vgl'!$W:$AA,5,FALSE)/par_VZ_Monate,""),"")</f>
        <v/>
      </c>
      <c r="N95" s="259" t="str">
        <f>IFERROR(IF($H92="Nein",VLOOKUP(CONCATENATE($H91,"_",$H93),'1 - Strom Erdgas Wärme Vgl'!$W:$AA,5,FALSE)/par_VZ_Monate,""),"")</f>
        <v/>
      </c>
      <c r="O95" s="33" t="s">
        <v>4</v>
      </c>
      <c r="P95" s="135" t="str">
        <f>IFERROR(IF(H92="Nein","Vorbefüllte Verbrauchswerte wurden aliquot (d.h. 1/" &amp; par_VZ_Monate &amp; ") aus dem Jahr " &amp; par_Jahr1 &amp; " übernommen.","Bitte ergänzen Sie die monatlichen Verbrauchswerte gem. Lastprofilzähler"),"")</f>
        <v>Bitte ergänzen Sie die monatlichen Verbrauchswerte gem. Lastprofilzähler</v>
      </c>
      <c r="Q95" s="52"/>
      <c r="R95" s="52"/>
      <c r="S95" s="52"/>
      <c r="T95" s="52"/>
      <c r="U95" s="52"/>
      <c r="V95" s="52"/>
    </row>
    <row r="96" spans="1:24" x14ac:dyDescent="0.3">
      <c r="B96" s="109" t="str">
        <f>IF(H93="Wärme/Kälte","Energiemix: Anteil in % der aus Strom oder Erdgas erzeugten Wärme/Kälte","")</f>
        <v/>
      </c>
      <c r="C96" s="31"/>
      <c r="D96" s="65"/>
      <c r="E96" s="65"/>
      <c r="F96" s="86">
        <f>IFERROR(SUMPRODUCT(I96:N96,I95:N95),"")</f>
        <v>0</v>
      </c>
      <c r="G96" s="86"/>
      <c r="H96" s="31"/>
      <c r="I96" s="268"/>
      <c r="J96" s="269"/>
      <c r="K96" s="268"/>
      <c r="L96" s="269"/>
      <c r="M96" s="268"/>
      <c r="N96" s="269"/>
      <c r="O96" s="33" t="str">
        <f>IF(H93="Wärme/Kälte","i","")</f>
        <v/>
      </c>
      <c r="P96" s="109" t="str">
        <f>IF(H93="Wärme/Kälte","Bitte geben Sie den Anteil in % (von 0 bis 100, ohne Prozentzeichen) der direkt aus Strom oder Erdgas erzeugten Wärme/Kälte.","")</f>
        <v/>
      </c>
      <c r="Q96" s="31"/>
      <c r="R96" s="31"/>
      <c r="S96" s="31"/>
      <c r="T96" s="31"/>
      <c r="U96" s="31"/>
      <c r="V96" s="31"/>
      <c r="W96" s="34"/>
      <c r="X96" s="34"/>
    </row>
    <row r="97" spans="1:24" x14ac:dyDescent="0.3">
      <c r="B97" s="31"/>
      <c r="C97" s="31"/>
      <c r="D97" s="65"/>
      <c r="E97" s="65"/>
      <c r="F97" s="65"/>
      <c r="G97" s="65"/>
      <c r="H97" s="31"/>
      <c r="I97" s="31"/>
      <c r="J97" s="31"/>
      <c r="K97" s="31"/>
      <c r="L97" s="31"/>
      <c r="M97" s="31"/>
      <c r="N97" s="31"/>
      <c r="O97" s="33"/>
      <c r="P97" s="32"/>
      <c r="Q97" s="31"/>
      <c r="R97" s="31"/>
      <c r="S97" s="31"/>
      <c r="T97" s="31"/>
      <c r="U97" s="31"/>
      <c r="V97" s="31"/>
      <c r="W97" s="34"/>
      <c r="X97" s="34"/>
    </row>
    <row r="98" spans="1:24" s="34" customFormat="1" ht="19.5" thickBot="1" x14ac:dyDescent="0.45">
      <c r="A98" s="25"/>
      <c r="B98" s="36" t="s">
        <v>6</v>
      </c>
      <c r="C98" s="109"/>
      <c r="D98" s="118"/>
      <c r="E98" s="118"/>
      <c r="F98" s="118"/>
      <c r="G98" s="118"/>
      <c r="H98" s="109"/>
      <c r="I98" s="136">
        <f>par_FZ_SEW_Start</f>
        <v>44927</v>
      </c>
      <c r="J98" s="136">
        <f>EOMONTH(I98,0)+1</f>
        <v>44958</v>
      </c>
      <c r="K98" s="136">
        <f t="shared" ref="K98" si="25">EOMONTH(J98,0)+1</f>
        <v>44986</v>
      </c>
      <c r="L98" s="136">
        <f t="shared" ref="L98" si="26">EOMONTH(K98,0)+1</f>
        <v>45017</v>
      </c>
      <c r="M98" s="136">
        <f t="shared" ref="M98" si="27">EOMONTH(L98,0)+1</f>
        <v>45047</v>
      </c>
      <c r="N98" s="136">
        <f t="shared" ref="N98" si="28">EOMONTH(M98,0)+1</f>
        <v>45078</v>
      </c>
      <c r="O98" s="32"/>
      <c r="P98" s="46"/>
      <c r="Q98" s="46"/>
      <c r="R98" s="46"/>
      <c r="S98" s="46"/>
      <c r="T98" s="46"/>
      <c r="U98" s="46"/>
      <c r="V98" s="32"/>
    </row>
    <row r="99" spans="1:24" s="34" customFormat="1" ht="17.25" thickBot="1" x14ac:dyDescent="0.35">
      <c r="A99" s="25"/>
      <c r="B99" s="109" t="s">
        <v>204</v>
      </c>
      <c r="C99" s="109"/>
      <c r="D99" s="118"/>
      <c r="E99" s="118"/>
      <c r="F99" s="118"/>
      <c r="G99" s="118"/>
      <c r="H99" s="266"/>
      <c r="I99" s="47"/>
      <c r="J99" s="48"/>
      <c r="K99" s="48"/>
      <c r="L99" s="48"/>
      <c r="M99" s="48"/>
      <c r="N99" s="48"/>
      <c r="O99" s="33" t="s">
        <v>4</v>
      </c>
      <c r="P99" s="109" t="s">
        <v>21</v>
      </c>
      <c r="Q99" s="46"/>
      <c r="R99" s="46"/>
      <c r="S99" s="46"/>
      <c r="T99" s="46"/>
      <c r="U99" s="46"/>
      <c r="V99" s="32"/>
    </row>
    <row r="100" spans="1:24" s="34" customFormat="1" ht="17.25" thickBot="1" x14ac:dyDescent="0.35">
      <c r="A100" s="25"/>
      <c r="B100" s="109" t="s">
        <v>8</v>
      </c>
      <c r="C100" s="109"/>
      <c r="D100" s="118"/>
      <c r="E100" s="118"/>
      <c r="F100" s="118"/>
      <c r="G100" s="118"/>
      <c r="H100" s="137">
        <f>IFERROR(VLOOKUP(H99,'1 - Strom Erdgas Wärme Vgl'!H:AA,17,FALSE),"")</f>
        <v>0</v>
      </c>
      <c r="I100" s="47"/>
      <c r="J100" s="48"/>
      <c r="K100" s="48"/>
      <c r="L100" s="48"/>
      <c r="M100" s="48"/>
      <c r="N100" s="48"/>
      <c r="O100" s="33"/>
      <c r="P100" s="109"/>
      <c r="Q100" s="46"/>
      <c r="R100" s="46"/>
      <c r="S100" s="46"/>
      <c r="T100" s="46"/>
      <c r="U100" s="46"/>
      <c r="V100" s="32"/>
    </row>
    <row r="101" spans="1:24" s="34" customFormat="1" ht="17.25" thickBot="1" x14ac:dyDescent="0.35">
      <c r="A101" s="25"/>
      <c r="B101" s="109" t="s">
        <v>10</v>
      </c>
      <c r="C101" s="109"/>
      <c r="D101" s="118"/>
      <c r="E101" s="118"/>
      <c r="F101" s="118"/>
      <c r="G101" s="118"/>
      <c r="H101" s="258">
        <f>IFERROR(VLOOKUP(H99,'1 - Strom Erdgas Wärme Vgl'!H:AA,18,FALSE),"")</f>
        <v>0</v>
      </c>
      <c r="I101" s="49"/>
      <c r="J101" s="50"/>
      <c r="K101" s="50"/>
      <c r="L101" s="50"/>
      <c r="M101" s="50"/>
      <c r="N101" s="50"/>
      <c r="O101" s="33" t="s">
        <v>4</v>
      </c>
      <c r="P101" s="109" t="s">
        <v>11</v>
      </c>
      <c r="Q101" s="46"/>
      <c r="R101" s="46"/>
      <c r="S101" s="46"/>
      <c r="T101" s="46"/>
      <c r="U101" s="46"/>
      <c r="V101" s="32"/>
    </row>
    <row r="102" spans="1:24" s="34" customFormat="1" ht="17.25" thickBot="1" x14ac:dyDescent="0.35">
      <c r="A102" s="25"/>
      <c r="B102" s="109" t="str" cm="1">
        <f t="array" ref="B102">_xlfn.IFS(OR(ISBLANK(H101),H101=0),"Bitte Energieart auswählen!",TRUE(),"Arbeitspreis pro kWh " &amp; H101 &amp; " in EUR")</f>
        <v>Bitte Energieart auswählen!</v>
      </c>
      <c r="C102" s="109"/>
      <c r="D102" s="118"/>
      <c r="E102" s="118"/>
      <c r="F102" s="118"/>
      <c r="G102" s="138">
        <f>IFERROR(SUMPRODUCT(I102:N102,I103:N103),"")</f>
        <v>0</v>
      </c>
      <c r="H102" s="109"/>
      <c r="I102" s="267"/>
      <c r="J102" s="267"/>
      <c r="K102" s="267"/>
      <c r="L102" s="267"/>
      <c r="M102" s="267"/>
      <c r="N102" s="267"/>
      <c r="O102" s="33" t="s">
        <v>4</v>
      </c>
      <c r="P102" s="109" t="str">
        <f>IF(OR(ISBLANK(H101),H101=0),"Bitte Energieart auswählen!",H101 &amp; "kosten exkl. Steuern, Abgaben, Netzentgelte, etc.")</f>
        <v>Bitte Energieart auswählen!</v>
      </c>
      <c r="Q102" s="32"/>
      <c r="R102" s="32"/>
      <c r="S102" s="51"/>
      <c r="T102" s="38"/>
      <c r="U102" s="39"/>
      <c r="V102" s="32"/>
    </row>
    <row r="103" spans="1:24" s="34" customFormat="1" ht="17.25" thickBot="1" x14ac:dyDescent="0.35">
      <c r="A103" s="25"/>
      <c r="B103" s="109" t="str">
        <f>IF(OR(ISBLANK(H101),H101=0),"Bitte Energieart auswählen!",IF(H100="Nein","Aliquoter ","") &amp; H101 &amp;"verbrauch in kWh " &amp; par_FZ_Text)</f>
        <v>Bitte Energieart auswählen!</v>
      </c>
      <c r="C103" s="109"/>
      <c r="D103" s="118"/>
      <c r="E103" s="118"/>
      <c r="F103" s="118"/>
      <c r="G103" s="118"/>
      <c r="H103" s="126">
        <f>SUM(I103:N103)</f>
        <v>0</v>
      </c>
      <c r="I103" s="259" t="str">
        <f>IFERROR(IF($H100="Nein",VLOOKUP(CONCATENATE($H99,"_",$H101),'1 - Strom Erdgas Wärme Vgl'!$W:$AA,5,FALSE)/par_VZ_Monate,""),"")</f>
        <v/>
      </c>
      <c r="J103" s="259" t="str">
        <f>IFERROR(IF($H100="Nein",VLOOKUP(CONCATENATE($H99,"_",$H101),'1 - Strom Erdgas Wärme Vgl'!$W:$AA,5,FALSE)/par_VZ_Monate,""),"")</f>
        <v/>
      </c>
      <c r="K103" s="259" t="str">
        <f>IFERROR(IF($H100="Nein",VLOOKUP(CONCATENATE($H99,"_",$H101),'1 - Strom Erdgas Wärme Vgl'!$W:$AA,5,FALSE)/par_VZ_Monate,""),"")</f>
        <v/>
      </c>
      <c r="L103" s="259" t="str">
        <f>IFERROR(IF($H100="Nein",VLOOKUP(CONCATENATE($H99,"_",$H101),'1 - Strom Erdgas Wärme Vgl'!$W:$AA,5,FALSE)/par_VZ_Monate,""),"")</f>
        <v/>
      </c>
      <c r="M103" s="259" t="str">
        <f>IFERROR(IF($H100="Nein",VLOOKUP(CONCATENATE($H99,"_",$H101),'1 - Strom Erdgas Wärme Vgl'!$W:$AA,5,FALSE)/par_VZ_Monate,""),"")</f>
        <v/>
      </c>
      <c r="N103" s="259" t="str">
        <f>IFERROR(IF($H100="Nein",VLOOKUP(CONCATENATE($H99,"_",$H101),'1 - Strom Erdgas Wärme Vgl'!$W:$AA,5,FALSE)/par_VZ_Monate,""),"")</f>
        <v/>
      </c>
      <c r="O103" s="33" t="s">
        <v>4</v>
      </c>
      <c r="P103" s="135" t="str">
        <f>IFERROR(IF(H100="Nein","Vorbefüllte Verbrauchswerte wurden aliquot (d.h. 1/" &amp; par_VZ_Monate &amp; ") aus dem Jahr " &amp; par_Jahr1 &amp; " übernommen.","Bitte ergänzen Sie die monatlichen Verbrauchswerte gem. Lastprofilzähler"),"")</f>
        <v>Bitte ergänzen Sie die monatlichen Verbrauchswerte gem. Lastprofilzähler</v>
      </c>
      <c r="Q103" s="52"/>
      <c r="R103" s="52"/>
      <c r="S103" s="52"/>
      <c r="T103" s="52"/>
      <c r="U103" s="52"/>
      <c r="V103" s="52"/>
    </row>
    <row r="104" spans="1:24" x14ac:dyDescent="0.3">
      <c r="B104" s="109" t="str">
        <f>IF(H101="Wärme/Kälte","Energiemix: Anteil in % der aus Strom oder Erdgas erzeugten Wärme/Kälte","")</f>
        <v/>
      </c>
      <c r="C104" s="31"/>
      <c r="D104" s="65"/>
      <c r="E104" s="65"/>
      <c r="F104" s="86">
        <f>IFERROR(SUMPRODUCT(I104:N104,I103:N103),"")</f>
        <v>0</v>
      </c>
      <c r="G104" s="86"/>
      <c r="H104" s="31"/>
      <c r="I104" s="268"/>
      <c r="J104" s="269"/>
      <c r="K104" s="268"/>
      <c r="L104" s="269"/>
      <c r="M104" s="268"/>
      <c r="N104" s="269"/>
      <c r="O104" s="33" t="str">
        <f>IF(H101="Wärme/Kälte","i","")</f>
        <v/>
      </c>
      <c r="P104" s="109" t="str">
        <f>IF(H101="Wärme/Kälte","Bitte geben Sie den Anteil in % (von 0 bis 100, ohne Prozentzeichen) der direkt aus Strom oder Erdgas erzeugten Wärme/Kälte.","")</f>
        <v/>
      </c>
      <c r="Q104" s="31"/>
      <c r="R104" s="31"/>
      <c r="S104" s="31"/>
      <c r="T104" s="31"/>
      <c r="U104" s="31"/>
      <c r="V104" s="31"/>
      <c r="W104" s="34"/>
      <c r="X104" s="34"/>
    </row>
    <row r="105" spans="1:24" x14ac:dyDescent="0.3">
      <c r="B105" s="31"/>
      <c r="C105" s="31"/>
      <c r="D105" s="65"/>
      <c r="E105" s="65"/>
      <c r="F105" s="65"/>
      <c r="G105" s="65"/>
      <c r="H105" s="31"/>
      <c r="I105" s="31"/>
      <c r="J105" s="31"/>
      <c r="K105" s="31"/>
      <c r="L105" s="31"/>
      <c r="M105" s="31"/>
      <c r="N105" s="31"/>
      <c r="O105" s="33"/>
      <c r="P105" s="32"/>
      <c r="Q105" s="31"/>
      <c r="R105" s="31"/>
      <c r="S105" s="31"/>
      <c r="T105" s="31"/>
      <c r="U105" s="31"/>
      <c r="V105" s="31"/>
      <c r="W105" s="34"/>
      <c r="X105" s="34"/>
    </row>
    <row r="106" spans="1:24" s="34" customFormat="1" ht="19.5" thickBot="1" x14ac:dyDescent="0.45">
      <c r="A106" s="25"/>
      <c r="B106" s="36" t="s">
        <v>6</v>
      </c>
      <c r="C106" s="109"/>
      <c r="D106" s="118"/>
      <c r="E106" s="118"/>
      <c r="F106" s="118"/>
      <c r="G106" s="118"/>
      <c r="H106" s="109"/>
      <c r="I106" s="136">
        <f>par_FZ_SEW_Start</f>
        <v>44927</v>
      </c>
      <c r="J106" s="136">
        <f>EOMONTH(I106,0)+1</f>
        <v>44958</v>
      </c>
      <c r="K106" s="136">
        <f t="shared" ref="K106" si="29">EOMONTH(J106,0)+1</f>
        <v>44986</v>
      </c>
      <c r="L106" s="136">
        <f t="shared" ref="L106" si="30">EOMONTH(K106,0)+1</f>
        <v>45017</v>
      </c>
      <c r="M106" s="136">
        <f t="shared" ref="M106" si="31">EOMONTH(L106,0)+1</f>
        <v>45047</v>
      </c>
      <c r="N106" s="136">
        <f t="shared" ref="N106" si="32">EOMONTH(M106,0)+1</f>
        <v>45078</v>
      </c>
      <c r="O106" s="32"/>
      <c r="P106" s="46"/>
      <c r="Q106" s="46"/>
      <c r="R106" s="46"/>
      <c r="S106" s="46"/>
      <c r="T106" s="46"/>
      <c r="U106" s="46"/>
      <c r="V106" s="32"/>
    </row>
    <row r="107" spans="1:24" s="34" customFormat="1" ht="17.25" thickBot="1" x14ac:dyDescent="0.35">
      <c r="A107" s="25"/>
      <c r="B107" s="109" t="s">
        <v>204</v>
      </c>
      <c r="C107" s="109"/>
      <c r="D107" s="118"/>
      <c r="E107" s="118"/>
      <c r="F107" s="118"/>
      <c r="G107" s="118"/>
      <c r="H107" s="266"/>
      <c r="I107" s="47"/>
      <c r="J107" s="48"/>
      <c r="K107" s="48"/>
      <c r="L107" s="48"/>
      <c r="M107" s="48"/>
      <c r="N107" s="48"/>
      <c r="O107" s="33" t="s">
        <v>4</v>
      </c>
      <c r="P107" s="109" t="s">
        <v>21</v>
      </c>
      <c r="Q107" s="46"/>
      <c r="R107" s="46"/>
      <c r="S107" s="46"/>
      <c r="T107" s="46"/>
      <c r="U107" s="46"/>
      <c r="V107" s="32"/>
    </row>
    <row r="108" spans="1:24" s="34" customFormat="1" ht="17.25" thickBot="1" x14ac:dyDescent="0.35">
      <c r="A108" s="25"/>
      <c r="B108" s="109" t="s">
        <v>8</v>
      </c>
      <c r="C108" s="109"/>
      <c r="D108" s="118"/>
      <c r="E108" s="118"/>
      <c r="F108" s="118"/>
      <c r="G108" s="118"/>
      <c r="H108" s="137">
        <f>IFERROR(VLOOKUP(H107,'1 - Strom Erdgas Wärme Vgl'!H:AA,17,FALSE),"")</f>
        <v>0</v>
      </c>
      <c r="I108" s="47"/>
      <c r="J108" s="48"/>
      <c r="K108" s="48"/>
      <c r="L108" s="48"/>
      <c r="M108" s="48"/>
      <c r="N108" s="48"/>
      <c r="O108" s="33"/>
      <c r="P108" s="109"/>
      <c r="Q108" s="46"/>
      <c r="R108" s="46"/>
      <c r="S108" s="46"/>
      <c r="T108" s="46"/>
      <c r="U108" s="46"/>
      <c r="V108" s="32"/>
    </row>
    <row r="109" spans="1:24" s="34" customFormat="1" ht="17.25" thickBot="1" x14ac:dyDescent="0.35">
      <c r="A109" s="25"/>
      <c r="B109" s="109" t="s">
        <v>10</v>
      </c>
      <c r="C109" s="109"/>
      <c r="D109" s="118"/>
      <c r="E109" s="118"/>
      <c r="F109" s="118"/>
      <c r="G109" s="118"/>
      <c r="H109" s="258">
        <f>IFERROR(VLOOKUP(H107,'1 - Strom Erdgas Wärme Vgl'!H:AA,18,FALSE),"")</f>
        <v>0</v>
      </c>
      <c r="I109" s="49"/>
      <c r="J109" s="50"/>
      <c r="K109" s="50"/>
      <c r="L109" s="50"/>
      <c r="M109" s="50"/>
      <c r="N109" s="50"/>
      <c r="O109" s="33" t="s">
        <v>4</v>
      </c>
      <c r="P109" s="109" t="s">
        <v>11</v>
      </c>
      <c r="Q109" s="46"/>
      <c r="R109" s="46"/>
      <c r="S109" s="46"/>
      <c r="T109" s="46"/>
      <c r="U109" s="46"/>
      <c r="V109" s="32"/>
    </row>
    <row r="110" spans="1:24" s="34" customFormat="1" ht="17.25" thickBot="1" x14ac:dyDescent="0.35">
      <c r="A110" s="25"/>
      <c r="B110" s="109" t="str" cm="1">
        <f t="array" ref="B110">_xlfn.IFS(OR(ISBLANK(H109),H109=0),"Bitte Energieart auswählen!",TRUE(),"Arbeitspreis pro kWh " &amp; H109 &amp; " in EUR")</f>
        <v>Bitte Energieart auswählen!</v>
      </c>
      <c r="C110" s="109"/>
      <c r="D110" s="118"/>
      <c r="E110" s="118"/>
      <c r="F110" s="118"/>
      <c r="G110" s="138">
        <f>IFERROR(SUMPRODUCT(I110:N110,I111:N111),"")</f>
        <v>0</v>
      </c>
      <c r="H110" s="109"/>
      <c r="I110" s="267"/>
      <c r="J110" s="267"/>
      <c r="K110" s="267"/>
      <c r="L110" s="267"/>
      <c r="M110" s="267"/>
      <c r="N110" s="267"/>
      <c r="O110" s="33" t="s">
        <v>4</v>
      </c>
      <c r="P110" s="109" t="str">
        <f>IF(OR(ISBLANK(H109),H109=0),"Bitte Energieart auswählen!",H109 &amp; "kosten exkl. Steuern, Abgaben, Netzentgelte, etc.")</f>
        <v>Bitte Energieart auswählen!</v>
      </c>
      <c r="Q110" s="32"/>
      <c r="R110" s="32"/>
      <c r="S110" s="51"/>
      <c r="T110" s="38"/>
      <c r="U110" s="39"/>
      <c r="V110" s="32"/>
    </row>
    <row r="111" spans="1:24" s="34" customFormat="1" ht="17.25" thickBot="1" x14ac:dyDescent="0.35">
      <c r="A111" s="25"/>
      <c r="B111" s="109" t="str">
        <f>IF(OR(ISBLANK(H109),H109=0),"Bitte Energieart auswählen!",IF(H108="Nein","Aliquoter ","") &amp; H109 &amp;"verbrauch in kWh " &amp; par_FZ_Text)</f>
        <v>Bitte Energieart auswählen!</v>
      </c>
      <c r="C111" s="109"/>
      <c r="D111" s="118"/>
      <c r="E111" s="118"/>
      <c r="F111" s="118"/>
      <c r="G111" s="118"/>
      <c r="H111" s="126">
        <f>SUM(I111:N111)</f>
        <v>0</v>
      </c>
      <c r="I111" s="259" t="str">
        <f>IFERROR(IF($H108="Nein",VLOOKUP(CONCATENATE($H107,"_",$H109),'1 - Strom Erdgas Wärme Vgl'!$W:$AA,5,FALSE)/par_VZ_Monate,""),"")</f>
        <v/>
      </c>
      <c r="J111" s="259" t="str">
        <f>IFERROR(IF($H108="Nein",VLOOKUP(CONCATENATE($H107,"_",$H109),'1 - Strom Erdgas Wärme Vgl'!$W:$AA,5,FALSE)/par_VZ_Monate,""),"")</f>
        <v/>
      </c>
      <c r="K111" s="259" t="str">
        <f>IFERROR(IF($H108="Nein",VLOOKUP(CONCATENATE($H107,"_",$H109),'1 - Strom Erdgas Wärme Vgl'!$W:$AA,5,FALSE)/par_VZ_Monate,""),"")</f>
        <v/>
      </c>
      <c r="L111" s="259" t="str">
        <f>IFERROR(IF($H108="Nein",VLOOKUP(CONCATENATE($H107,"_",$H109),'1 - Strom Erdgas Wärme Vgl'!$W:$AA,5,FALSE)/par_VZ_Monate,""),"")</f>
        <v/>
      </c>
      <c r="M111" s="259" t="str">
        <f>IFERROR(IF($H108="Nein",VLOOKUP(CONCATENATE($H107,"_",$H109),'1 - Strom Erdgas Wärme Vgl'!$W:$AA,5,FALSE)/par_VZ_Monate,""),"")</f>
        <v/>
      </c>
      <c r="N111" s="259" t="str">
        <f>IFERROR(IF($H108="Nein",VLOOKUP(CONCATENATE($H107,"_",$H109),'1 - Strom Erdgas Wärme Vgl'!$W:$AA,5,FALSE)/par_VZ_Monate,""),"")</f>
        <v/>
      </c>
      <c r="O111" s="33" t="s">
        <v>4</v>
      </c>
      <c r="P111" s="135" t="str">
        <f>IFERROR(IF(H108="Nein","Vorbefüllte Verbrauchswerte wurden aliquot (d.h. 1/" &amp; par_VZ_Monate &amp; ") aus dem Jahr " &amp; par_Jahr1 &amp; " übernommen.","Bitte ergänzen Sie die monatlichen Verbrauchswerte gem. Lastprofilzähler"),"")</f>
        <v>Bitte ergänzen Sie die monatlichen Verbrauchswerte gem. Lastprofilzähler</v>
      </c>
      <c r="Q111" s="52"/>
      <c r="R111" s="52"/>
      <c r="S111" s="52"/>
      <c r="T111" s="52"/>
      <c r="U111" s="52"/>
      <c r="V111" s="52"/>
    </row>
    <row r="112" spans="1:24" x14ac:dyDescent="0.3">
      <c r="B112" s="109" t="str">
        <f>IF(H109="Wärme/Kälte","Energiemix: Anteil in % der aus Strom oder Erdgas erzeugten Wärme/Kälte","")</f>
        <v/>
      </c>
      <c r="C112" s="31"/>
      <c r="D112" s="65"/>
      <c r="E112" s="65"/>
      <c r="F112" s="86">
        <f>IFERROR(SUMPRODUCT(I112:N112,I111:N111),"")</f>
        <v>0</v>
      </c>
      <c r="G112" s="86"/>
      <c r="H112" s="31"/>
      <c r="I112" s="268"/>
      <c r="J112" s="269"/>
      <c r="K112" s="268"/>
      <c r="L112" s="269"/>
      <c r="M112" s="268"/>
      <c r="N112" s="269"/>
      <c r="O112" s="33" t="str">
        <f>IF(H109="Wärme/Kälte","i","")</f>
        <v/>
      </c>
      <c r="P112" s="109" t="str">
        <f>IF(H109="Wärme/Kälte","Bitte geben Sie den Anteil in % (von 0 bis 100, ohne Prozentzeichen) der direkt aus Strom oder Erdgas erzeugten Wärme/Kälte.","")</f>
        <v/>
      </c>
      <c r="Q112" s="31"/>
      <c r="R112" s="31"/>
      <c r="S112" s="31"/>
      <c r="T112" s="31"/>
      <c r="U112" s="31"/>
      <c r="V112" s="31"/>
      <c r="W112" s="34"/>
      <c r="X112" s="34"/>
    </row>
    <row r="113" spans="1:24" x14ac:dyDescent="0.3">
      <c r="B113" s="31"/>
      <c r="C113" s="31"/>
      <c r="D113" s="65"/>
      <c r="E113" s="65"/>
      <c r="F113" s="65"/>
      <c r="G113" s="65"/>
      <c r="H113" s="31"/>
      <c r="I113" s="31"/>
      <c r="J113" s="31"/>
      <c r="K113" s="31"/>
      <c r="L113" s="31"/>
      <c r="M113" s="31"/>
      <c r="N113" s="31"/>
      <c r="O113" s="33"/>
      <c r="P113" s="32"/>
      <c r="Q113" s="31"/>
      <c r="R113" s="31"/>
      <c r="S113" s="31"/>
      <c r="T113" s="31"/>
      <c r="U113" s="31"/>
      <c r="V113" s="31"/>
      <c r="W113" s="34"/>
      <c r="X113" s="34"/>
    </row>
    <row r="114" spans="1:24" s="34" customFormat="1" ht="19.5" thickBot="1" x14ac:dyDescent="0.45">
      <c r="A114" s="25"/>
      <c r="B114" s="36" t="s">
        <v>6</v>
      </c>
      <c r="C114" s="109"/>
      <c r="D114" s="118"/>
      <c r="E114" s="118"/>
      <c r="F114" s="118"/>
      <c r="G114" s="118"/>
      <c r="H114" s="109"/>
      <c r="I114" s="136">
        <f>par_FZ_SEW_Start</f>
        <v>44927</v>
      </c>
      <c r="J114" s="136">
        <f>EOMONTH(I114,0)+1</f>
        <v>44958</v>
      </c>
      <c r="K114" s="136">
        <f t="shared" ref="K114" si="33">EOMONTH(J114,0)+1</f>
        <v>44986</v>
      </c>
      <c r="L114" s="136">
        <f t="shared" ref="L114" si="34">EOMONTH(K114,0)+1</f>
        <v>45017</v>
      </c>
      <c r="M114" s="136">
        <f t="shared" ref="M114" si="35">EOMONTH(L114,0)+1</f>
        <v>45047</v>
      </c>
      <c r="N114" s="136">
        <f t="shared" ref="N114" si="36">EOMONTH(M114,0)+1</f>
        <v>45078</v>
      </c>
      <c r="O114" s="32"/>
      <c r="P114" s="46"/>
      <c r="Q114" s="46"/>
      <c r="R114" s="46"/>
      <c r="S114" s="46"/>
      <c r="T114" s="46"/>
      <c r="U114" s="46"/>
      <c r="V114" s="32"/>
    </row>
    <row r="115" spans="1:24" s="34" customFormat="1" ht="17.25" thickBot="1" x14ac:dyDescent="0.35">
      <c r="A115" s="25"/>
      <c r="B115" s="109" t="s">
        <v>204</v>
      </c>
      <c r="C115" s="109"/>
      <c r="D115" s="118"/>
      <c r="E115" s="118"/>
      <c r="F115" s="118"/>
      <c r="G115" s="118"/>
      <c r="H115" s="266"/>
      <c r="I115" s="47"/>
      <c r="J115" s="48"/>
      <c r="K115" s="48"/>
      <c r="L115" s="48"/>
      <c r="M115" s="48"/>
      <c r="N115" s="48"/>
      <c r="O115" s="33" t="s">
        <v>4</v>
      </c>
      <c r="P115" s="109" t="s">
        <v>21</v>
      </c>
      <c r="Q115" s="46"/>
      <c r="R115" s="46"/>
      <c r="S115" s="46"/>
      <c r="T115" s="46"/>
      <c r="U115" s="46"/>
      <c r="V115" s="32"/>
    </row>
    <row r="116" spans="1:24" s="34" customFormat="1" ht="17.25" thickBot="1" x14ac:dyDescent="0.35">
      <c r="A116" s="25"/>
      <c r="B116" s="109" t="s">
        <v>8</v>
      </c>
      <c r="C116" s="109"/>
      <c r="D116" s="118"/>
      <c r="E116" s="118"/>
      <c r="F116" s="118"/>
      <c r="G116" s="118"/>
      <c r="H116" s="137">
        <f>IFERROR(VLOOKUP(H115,'1 - Strom Erdgas Wärme Vgl'!H:AA,17,FALSE),"")</f>
        <v>0</v>
      </c>
      <c r="I116" s="47"/>
      <c r="J116" s="48"/>
      <c r="K116" s="48"/>
      <c r="L116" s="48"/>
      <c r="M116" s="48"/>
      <c r="N116" s="48"/>
      <c r="O116" s="33"/>
      <c r="P116" s="109"/>
      <c r="Q116" s="46"/>
      <c r="R116" s="46"/>
      <c r="S116" s="46"/>
      <c r="T116" s="46"/>
      <c r="U116" s="46"/>
      <c r="V116" s="32"/>
    </row>
    <row r="117" spans="1:24" s="34" customFormat="1" ht="17.25" thickBot="1" x14ac:dyDescent="0.35">
      <c r="A117" s="25"/>
      <c r="B117" s="109" t="s">
        <v>10</v>
      </c>
      <c r="C117" s="109"/>
      <c r="D117" s="118"/>
      <c r="E117" s="118"/>
      <c r="F117" s="118"/>
      <c r="G117" s="118"/>
      <c r="H117" s="258">
        <f>IFERROR(VLOOKUP(H115,'1 - Strom Erdgas Wärme Vgl'!H:AA,18,FALSE),"")</f>
        <v>0</v>
      </c>
      <c r="I117" s="49"/>
      <c r="J117" s="50"/>
      <c r="K117" s="50"/>
      <c r="L117" s="50"/>
      <c r="M117" s="50"/>
      <c r="N117" s="50"/>
      <c r="O117" s="33" t="s">
        <v>4</v>
      </c>
      <c r="P117" s="109" t="s">
        <v>11</v>
      </c>
      <c r="Q117" s="46"/>
      <c r="R117" s="46"/>
      <c r="S117" s="46"/>
      <c r="T117" s="46"/>
      <c r="U117" s="46"/>
      <c r="V117" s="32"/>
    </row>
    <row r="118" spans="1:24" s="34" customFormat="1" ht="17.25" thickBot="1" x14ac:dyDescent="0.35">
      <c r="A118" s="25"/>
      <c r="B118" s="109" t="str" cm="1">
        <f t="array" ref="B118">_xlfn.IFS(OR(ISBLANK(H117),H117=0),"Bitte Energieart auswählen!",TRUE(),"Arbeitspreis pro kWh " &amp; H117 &amp; " in EUR")</f>
        <v>Bitte Energieart auswählen!</v>
      </c>
      <c r="C118" s="109"/>
      <c r="D118" s="118"/>
      <c r="E118" s="118"/>
      <c r="F118" s="118"/>
      <c r="G118" s="138">
        <f>IFERROR(SUMPRODUCT(I118:N118,I119:N119),"")</f>
        <v>0</v>
      </c>
      <c r="H118" s="109"/>
      <c r="I118" s="267"/>
      <c r="J118" s="267"/>
      <c r="K118" s="267"/>
      <c r="L118" s="267"/>
      <c r="M118" s="267"/>
      <c r="N118" s="267"/>
      <c r="O118" s="33" t="s">
        <v>4</v>
      </c>
      <c r="P118" s="109" t="str">
        <f>IF(OR(ISBLANK(H117),H117=0),"Bitte Energieart auswählen!",H117 &amp; "kosten exkl. Steuern, Abgaben, Netzentgelte, etc.")</f>
        <v>Bitte Energieart auswählen!</v>
      </c>
      <c r="Q118" s="32"/>
      <c r="R118" s="32"/>
      <c r="S118" s="51"/>
      <c r="T118" s="38"/>
      <c r="U118" s="39"/>
      <c r="V118" s="32"/>
    </row>
    <row r="119" spans="1:24" s="34" customFormat="1" ht="17.25" thickBot="1" x14ac:dyDescent="0.35">
      <c r="A119" s="25"/>
      <c r="B119" s="109" t="str">
        <f>IF(OR(ISBLANK(H117),H117=0),"Bitte Energieart auswählen!",IF(H116="Nein","Aliquoter ","") &amp; H117 &amp;"verbrauch in kWh " &amp; par_FZ_Text)</f>
        <v>Bitte Energieart auswählen!</v>
      </c>
      <c r="C119" s="109"/>
      <c r="D119" s="118"/>
      <c r="E119" s="118"/>
      <c r="F119" s="118"/>
      <c r="G119" s="118"/>
      <c r="H119" s="126">
        <f>SUM(I119:N119)</f>
        <v>0</v>
      </c>
      <c r="I119" s="259" t="str">
        <f>IFERROR(IF($H116="Nein",VLOOKUP(CONCATENATE($H115,"_",$H117),'1 - Strom Erdgas Wärme Vgl'!$W:$AA,5,FALSE)/par_VZ_Monate,""),"")</f>
        <v/>
      </c>
      <c r="J119" s="259" t="str">
        <f>IFERROR(IF($H116="Nein",VLOOKUP(CONCATENATE($H115,"_",$H117),'1 - Strom Erdgas Wärme Vgl'!$W:$AA,5,FALSE)/par_VZ_Monate,""),"")</f>
        <v/>
      </c>
      <c r="K119" s="259" t="str">
        <f>IFERROR(IF($H116="Nein",VLOOKUP(CONCATENATE($H115,"_",$H117),'1 - Strom Erdgas Wärme Vgl'!$W:$AA,5,FALSE)/par_VZ_Monate,""),"")</f>
        <v/>
      </c>
      <c r="L119" s="259" t="str">
        <f>IFERROR(IF($H116="Nein",VLOOKUP(CONCATENATE($H115,"_",$H117),'1 - Strom Erdgas Wärme Vgl'!$W:$AA,5,FALSE)/par_VZ_Monate,""),"")</f>
        <v/>
      </c>
      <c r="M119" s="259" t="str">
        <f>IFERROR(IF($H116="Nein",VLOOKUP(CONCATENATE($H115,"_",$H117),'1 - Strom Erdgas Wärme Vgl'!$W:$AA,5,FALSE)/par_VZ_Monate,""),"")</f>
        <v/>
      </c>
      <c r="N119" s="259" t="str">
        <f>IFERROR(IF($H116="Nein",VLOOKUP(CONCATENATE($H115,"_",$H117),'1 - Strom Erdgas Wärme Vgl'!$W:$AA,5,FALSE)/par_VZ_Monate,""),"")</f>
        <v/>
      </c>
      <c r="O119" s="33" t="s">
        <v>4</v>
      </c>
      <c r="P119" s="135" t="str">
        <f>IFERROR(IF(H116="Nein","Vorbefüllte Verbrauchswerte wurden aliquot (d.h. 1/" &amp; par_VZ_Monate &amp; ") aus dem Jahr " &amp; par_Jahr1 &amp; " übernommen.","Bitte ergänzen Sie die monatlichen Verbrauchswerte gem. Lastprofilzähler"),"")</f>
        <v>Bitte ergänzen Sie die monatlichen Verbrauchswerte gem. Lastprofilzähler</v>
      </c>
      <c r="Q119" s="52"/>
      <c r="R119" s="52"/>
      <c r="S119" s="52"/>
      <c r="T119" s="52"/>
      <c r="U119" s="52"/>
      <c r="V119" s="52"/>
    </row>
    <row r="120" spans="1:24" x14ac:dyDescent="0.3">
      <c r="B120" s="109" t="str">
        <f>IF(H117="Wärme/Kälte","Energiemix: Anteil in % der aus Strom oder Erdgas erzeugten Wärme/Kälte","")</f>
        <v/>
      </c>
      <c r="C120" s="31"/>
      <c r="D120" s="65"/>
      <c r="E120" s="65"/>
      <c r="F120" s="86">
        <f>IFERROR(SUMPRODUCT(I120:N120,I119:N119),"")</f>
        <v>0</v>
      </c>
      <c r="G120" s="86"/>
      <c r="H120" s="31"/>
      <c r="I120" s="268"/>
      <c r="J120" s="269"/>
      <c r="K120" s="268"/>
      <c r="L120" s="269"/>
      <c r="M120" s="268"/>
      <c r="N120" s="269"/>
      <c r="O120" s="33" t="str">
        <f>IF(H117="Wärme/Kälte","i","")</f>
        <v/>
      </c>
      <c r="P120" s="109" t="str">
        <f>IF(H117="Wärme/Kälte","Bitte geben Sie den Anteil in % (von 0 bis 100, ohne Prozentzeichen) der direkt aus Strom oder Erdgas erzeugten Wärme/Kälte.","")</f>
        <v/>
      </c>
      <c r="Q120" s="31"/>
      <c r="R120" s="31"/>
      <c r="S120" s="31"/>
      <c r="T120" s="31"/>
      <c r="U120" s="31"/>
      <c r="V120" s="31"/>
      <c r="W120" s="34"/>
      <c r="X120" s="34"/>
    </row>
    <row r="121" spans="1:24" x14ac:dyDescent="0.3">
      <c r="B121" s="31"/>
      <c r="C121" s="31"/>
      <c r="D121" s="65"/>
      <c r="E121" s="65"/>
      <c r="F121" s="65"/>
      <c r="G121" s="65"/>
      <c r="H121" s="31"/>
      <c r="I121" s="31"/>
      <c r="J121" s="31"/>
      <c r="K121" s="31"/>
      <c r="L121" s="31"/>
      <c r="M121" s="31"/>
      <c r="N121" s="31"/>
      <c r="O121" s="33"/>
      <c r="P121" s="32"/>
      <c r="Q121" s="31"/>
      <c r="R121" s="31"/>
      <c r="S121" s="31"/>
      <c r="T121" s="31"/>
      <c r="U121" s="31"/>
      <c r="V121" s="31"/>
      <c r="W121" s="34"/>
      <c r="X121" s="34"/>
    </row>
    <row r="122" spans="1:24" s="34" customFormat="1" ht="19.5" thickBot="1" x14ac:dyDescent="0.45">
      <c r="A122" s="25"/>
      <c r="B122" s="36" t="s">
        <v>6</v>
      </c>
      <c r="C122" s="109"/>
      <c r="D122" s="118"/>
      <c r="E122" s="118"/>
      <c r="F122" s="118"/>
      <c r="G122" s="118"/>
      <c r="H122" s="109"/>
      <c r="I122" s="136">
        <f>par_FZ_SEW_Start</f>
        <v>44927</v>
      </c>
      <c r="J122" s="136">
        <f>EOMONTH(I122,0)+1</f>
        <v>44958</v>
      </c>
      <c r="K122" s="136">
        <f t="shared" ref="K122" si="37">EOMONTH(J122,0)+1</f>
        <v>44986</v>
      </c>
      <c r="L122" s="136">
        <f t="shared" ref="L122" si="38">EOMONTH(K122,0)+1</f>
        <v>45017</v>
      </c>
      <c r="M122" s="136">
        <f t="shared" ref="M122" si="39">EOMONTH(L122,0)+1</f>
        <v>45047</v>
      </c>
      <c r="N122" s="136">
        <f t="shared" ref="N122" si="40">EOMONTH(M122,0)+1</f>
        <v>45078</v>
      </c>
      <c r="O122" s="32"/>
      <c r="P122" s="46"/>
      <c r="Q122" s="46"/>
      <c r="R122" s="46"/>
      <c r="S122" s="46"/>
      <c r="T122" s="46"/>
      <c r="U122" s="46"/>
      <c r="V122" s="32"/>
    </row>
    <row r="123" spans="1:24" s="34" customFormat="1" ht="17.25" thickBot="1" x14ac:dyDescent="0.35">
      <c r="A123" s="25"/>
      <c r="B123" s="109" t="s">
        <v>204</v>
      </c>
      <c r="C123" s="109"/>
      <c r="D123" s="118"/>
      <c r="E123" s="118"/>
      <c r="F123" s="118"/>
      <c r="G123" s="118"/>
      <c r="H123" s="266"/>
      <c r="I123" s="47"/>
      <c r="J123" s="48"/>
      <c r="K123" s="48"/>
      <c r="L123" s="48"/>
      <c r="M123" s="48"/>
      <c r="N123" s="48"/>
      <c r="O123" s="33" t="s">
        <v>4</v>
      </c>
      <c r="P123" s="109" t="s">
        <v>21</v>
      </c>
      <c r="Q123" s="46"/>
      <c r="R123" s="46"/>
      <c r="S123" s="46"/>
      <c r="T123" s="46"/>
      <c r="U123" s="46"/>
      <c r="V123" s="32"/>
    </row>
    <row r="124" spans="1:24" s="34" customFormat="1" ht="17.25" thickBot="1" x14ac:dyDescent="0.35">
      <c r="A124" s="25"/>
      <c r="B124" s="109" t="s">
        <v>8</v>
      </c>
      <c r="C124" s="109"/>
      <c r="D124" s="118"/>
      <c r="E124" s="118"/>
      <c r="F124" s="118"/>
      <c r="G124" s="118"/>
      <c r="H124" s="137">
        <f>IFERROR(VLOOKUP(H123,'1 - Strom Erdgas Wärme Vgl'!H:AA,17,FALSE),"")</f>
        <v>0</v>
      </c>
      <c r="I124" s="47"/>
      <c r="J124" s="48"/>
      <c r="K124" s="48"/>
      <c r="L124" s="48"/>
      <c r="M124" s="48"/>
      <c r="N124" s="48"/>
      <c r="O124" s="33"/>
      <c r="P124" s="109"/>
      <c r="Q124" s="46"/>
      <c r="R124" s="46"/>
      <c r="S124" s="46"/>
      <c r="T124" s="46"/>
      <c r="U124" s="46"/>
      <c r="V124" s="32"/>
    </row>
    <row r="125" spans="1:24" s="34" customFormat="1" ht="17.25" thickBot="1" x14ac:dyDescent="0.35">
      <c r="A125" s="25"/>
      <c r="B125" s="109" t="s">
        <v>10</v>
      </c>
      <c r="C125" s="109"/>
      <c r="D125" s="118"/>
      <c r="E125" s="118"/>
      <c r="F125" s="118"/>
      <c r="G125" s="118"/>
      <c r="H125" s="258">
        <f>IFERROR(VLOOKUP(H123,'1 - Strom Erdgas Wärme Vgl'!H:AA,18,FALSE),"")</f>
        <v>0</v>
      </c>
      <c r="I125" s="49"/>
      <c r="J125" s="50"/>
      <c r="K125" s="50"/>
      <c r="L125" s="50"/>
      <c r="M125" s="50"/>
      <c r="N125" s="50"/>
      <c r="O125" s="33" t="s">
        <v>4</v>
      </c>
      <c r="P125" s="109" t="s">
        <v>11</v>
      </c>
      <c r="Q125" s="46"/>
      <c r="R125" s="46"/>
      <c r="S125" s="46"/>
      <c r="T125" s="46"/>
      <c r="U125" s="46"/>
      <c r="V125" s="32"/>
    </row>
    <row r="126" spans="1:24" s="34" customFormat="1" ht="17.25" thickBot="1" x14ac:dyDescent="0.35">
      <c r="A126" s="25"/>
      <c r="B126" s="109" t="str" cm="1">
        <f t="array" ref="B126">_xlfn.IFS(OR(ISBLANK(H125),H125=0),"Bitte Energieart auswählen!",TRUE(),"Arbeitspreis pro kWh " &amp; H125 &amp; " in EUR")</f>
        <v>Bitte Energieart auswählen!</v>
      </c>
      <c r="C126" s="109"/>
      <c r="D126" s="118"/>
      <c r="E126" s="118"/>
      <c r="F126" s="118"/>
      <c r="G126" s="138">
        <f>IFERROR(SUMPRODUCT(I126:N126,I127:N127),"")</f>
        <v>0</v>
      </c>
      <c r="H126" s="109"/>
      <c r="I126" s="267"/>
      <c r="J126" s="267"/>
      <c r="K126" s="267"/>
      <c r="L126" s="267"/>
      <c r="M126" s="267"/>
      <c r="N126" s="267"/>
      <c r="O126" s="33" t="s">
        <v>4</v>
      </c>
      <c r="P126" s="109" t="str">
        <f>IF(OR(ISBLANK(H125),H125=0),"Bitte Energieart auswählen!",H125 &amp; "kosten exkl. Steuern, Abgaben, Netzentgelte, etc.")</f>
        <v>Bitte Energieart auswählen!</v>
      </c>
      <c r="Q126" s="32"/>
      <c r="R126" s="32"/>
      <c r="S126" s="51"/>
      <c r="T126" s="38"/>
      <c r="U126" s="39"/>
      <c r="V126" s="32"/>
    </row>
    <row r="127" spans="1:24" s="34" customFormat="1" ht="17.25" thickBot="1" x14ac:dyDescent="0.35">
      <c r="A127" s="25"/>
      <c r="B127" s="109" t="str">
        <f>IF(OR(ISBLANK(H125),H125=0),"Bitte Energieart auswählen!",IF(H124="Nein","Aliquoter ","") &amp; H125 &amp;"verbrauch in kWh " &amp; par_FZ_Text)</f>
        <v>Bitte Energieart auswählen!</v>
      </c>
      <c r="C127" s="109"/>
      <c r="D127" s="118"/>
      <c r="E127" s="118"/>
      <c r="F127" s="118"/>
      <c r="G127" s="118"/>
      <c r="H127" s="126">
        <f>SUM(I127:N127)</f>
        <v>0</v>
      </c>
      <c r="I127" s="259" t="str">
        <f>IFERROR(IF($H124="Nein",VLOOKUP(CONCATENATE($H123,"_",$H125),'1 - Strom Erdgas Wärme Vgl'!$W:$AA,5,FALSE)/par_VZ_Monate,""),"")</f>
        <v/>
      </c>
      <c r="J127" s="259" t="str">
        <f>IFERROR(IF($H124="Nein",VLOOKUP(CONCATENATE($H123,"_",$H125),'1 - Strom Erdgas Wärme Vgl'!$W:$AA,5,FALSE)/par_VZ_Monate,""),"")</f>
        <v/>
      </c>
      <c r="K127" s="259" t="str">
        <f>IFERROR(IF($H124="Nein",VLOOKUP(CONCATENATE($H123,"_",$H125),'1 - Strom Erdgas Wärme Vgl'!$W:$AA,5,FALSE)/par_VZ_Monate,""),"")</f>
        <v/>
      </c>
      <c r="L127" s="259" t="str">
        <f>IFERROR(IF($H124="Nein",VLOOKUP(CONCATENATE($H123,"_",$H125),'1 - Strom Erdgas Wärme Vgl'!$W:$AA,5,FALSE)/par_VZ_Monate,""),"")</f>
        <v/>
      </c>
      <c r="M127" s="259" t="str">
        <f>IFERROR(IF($H124="Nein",VLOOKUP(CONCATENATE($H123,"_",$H125),'1 - Strom Erdgas Wärme Vgl'!$W:$AA,5,FALSE)/par_VZ_Monate,""),"")</f>
        <v/>
      </c>
      <c r="N127" s="259" t="str">
        <f>IFERROR(IF($H124="Nein",VLOOKUP(CONCATENATE($H123,"_",$H125),'1 - Strom Erdgas Wärme Vgl'!$W:$AA,5,FALSE)/par_VZ_Monate,""),"")</f>
        <v/>
      </c>
      <c r="O127" s="33" t="s">
        <v>4</v>
      </c>
      <c r="P127" s="135" t="str">
        <f>IFERROR(IF(H124="Nein","Vorbefüllte Verbrauchswerte wurden aliquot (d.h. 1/" &amp; par_VZ_Monate &amp; ") aus dem Jahr " &amp; par_Jahr1 &amp; " übernommen.","Bitte ergänzen Sie die monatlichen Verbrauchswerte gem. Lastprofilzähler"),"")</f>
        <v>Bitte ergänzen Sie die monatlichen Verbrauchswerte gem. Lastprofilzähler</v>
      </c>
      <c r="Q127" s="52"/>
      <c r="R127" s="52"/>
      <c r="S127" s="52"/>
      <c r="T127" s="52"/>
      <c r="U127" s="52"/>
      <c r="V127" s="52"/>
    </row>
    <row r="128" spans="1:24" x14ac:dyDescent="0.3">
      <c r="B128" s="109" t="str">
        <f>IF(H125="Wärme/Kälte","Energiemix: Anteil in % der aus Strom oder Erdgas erzeugten Wärme/Kälte","")</f>
        <v/>
      </c>
      <c r="C128" s="31"/>
      <c r="D128" s="65"/>
      <c r="E128" s="65"/>
      <c r="F128" s="86">
        <f>IFERROR(SUMPRODUCT(I128:N128,I127:N127),"")</f>
        <v>0</v>
      </c>
      <c r="G128" s="86"/>
      <c r="H128" s="31"/>
      <c r="I128" s="268"/>
      <c r="J128" s="269"/>
      <c r="K128" s="268"/>
      <c r="L128" s="269"/>
      <c r="M128" s="268"/>
      <c r="N128" s="269"/>
      <c r="O128" s="33" t="str">
        <f>IF(H125="Wärme/Kälte","i","")</f>
        <v/>
      </c>
      <c r="P128" s="109" t="str">
        <f>IF(H125="Wärme/Kälte","Bitte geben Sie den Anteil in % (von 0 bis 100, ohne Prozentzeichen) der direkt aus Strom oder Erdgas erzeugten Wärme/Kälte.","")</f>
        <v/>
      </c>
      <c r="Q128" s="31"/>
      <c r="R128" s="31"/>
      <c r="S128" s="31"/>
      <c r="T128" s="31"/>
      <c r="U128" s="31"/>
      <c r="V128" s="31"/>
      <c r="W128" s="34"/>
      <c r="X128" s="34"/>
    </row>
    <row r="129" spans="1:24" x14ac:dyDescent="0.3">
      <c r="B129" s="31"/>
      <c r="C129" s="31"/>
      <c r="D129" s="65"/>
      <c r="E129" s="65"/>
      <c r="F129" s="65"/>
      <c r="G129" s="65"/>
      <c r="H129" s="31"/>
      <c r="I129" s="31"/>
      <c r="J129" s="31"/>
      <c r="K129" s="31"/>
      <c r="L129" s="31"/>
      <c r="M129" s="31"/>
      <c r="N129" s="31"/>
      <c r="O129" s="33"/>
      <c r="P129" s="32"/>
      <c r="Q129" s="31"/>
      <c r="R129" s="31"/>
      <c r="S129" s="31"/>
      <c r="T129" s="31"/>
      <c r="U129" s="31"/>
      <c r="V129" s="31"/>
      <c r="W129" s="34"/>
      <c r="X129" s="34"/>
    </row>
    <row r="130" spans="1:24" s="34" customFormat="1" ht="19.5" thickBot="1" x14ac:dyDescent="0.45">
      <c r="A130" s="25"/>
      <c r="B130" s="36" t="s">
        <v>6</v>
      </c>
      <c r="C130" s="109"/>
      <c r="D130" s="118"/>
      <c r="E130" s="118"/>
      <c r="F130" s="118"/>
      <c r="G130" s="118"/>
      <c r="H130" s="109"/>
      <c r="I130" s="136">
        <f>par_FZ_SEW_Start</f>
        <v>44927</v>
      </c>
      <c r="J130" s="136">
        <f>EOMONTH(I130,0)+1</f>
        <v>44958</v>
      </c>
      <c r="K130" s="136">
        <f t="shared" ref="K130" si="41">EOMONTH(J130,0)+1</f>
        <v>44986</v>
      </c>
      <c r="L130" s="136">
        <f t="shared" ref="L130" si="42">EOMONTH(K130,0)+1</f>
        <v>45017</v>
      </c>
      <c r="M130" s="136">
        <f t="shared" ref="M130" si="43">EOMONTH(L130,0)+1</f>
        <v>45047</v>
      </c>
      <c r="N130" s="136">
        <f t="shared" ref="N130" si="44">EOMONTH(M130,0)+1</f>
        <v>45078</v>
      </c>
      <c r="O130" s="32"/>
      <c r="P130" s="46"/>
      <c r="Q130" s="46"/>
      <c r="R130" s="46"/>
      <c r="S130" s="46"/>
      <c r="T130" s="46"/>
      <c r="U130" s="46"/>
      <c r="V130" s="32"/>
    </row>
    <row r="131" spans="1:24" s="34" customFormat="1" ht="17.25" thickBot="1" x14ac:dyDescent="0.35">
      <c r="A131" s="25"/>
      <c r="B131" s="109" t="s">
        <v>204</v>
      </c>
      <c r="C131" s="109"/>
      <c r="D131" s="118"/>
      <c r="E131" s="118"/>
      <c r="F131" s="118"/>
      <c r="G131" s="118"/>
      <c r="H131" s="266"/>
      <c r="I131" s="47"/>
      <c r="J131" s="48"/>
      <c r="K131" s="48"/>
      <c r="L131" s="48"/>
      <c r="M131" s="48"/>
      <c r="N131" s="48"/>
      <c r="O131" s="33" t="s">
        <v>4</v>
      </c>
      <c r="P131" s="109" t="s">
        <v>21</v>
      </c>
      <c r="Q131" s="46"/>
      <c r="R131" s="46"/>
      <c r="S131" s="46"/>
      <c r="T131" s="46"/>
      <c r="U131" s="46"/>
      <c r="V131" s="32"/>
    </row>
    <row r="132" spans="1:24" s="34" customFormat="1" ht="17.25" thickBot="1" x14ac:dyDescent="0.35">
      <c r="A132" s="25"/>
      <c r="B132" s="109" t="s">
        <v>8</v>
      </c>
      <c r="C132" s="109"/>
      <c r="D132" s="118"/>
      <c r="E132" s="118"/>
      <c r="F132" s="118"/>
      <c r="G132" s="118"/>
      <c r="H132" s="137">
        <f>IFERROR(VLOOKUP(H131,'1 - Strom Erdgas Wärme Vgl'!H:AA,17,FALSE),"")</f>
        <v>0</v>
      </c>
      <c r="I132" s="47"/>
      <c r="J132" s="48"/>
      <c r="K132" s="48"/>
      <c r="L132" s="48"/>
      <c r="M132" s="48"/>
      <c r="N132" s="48"/>
      <c r="O132" s="33"/>
      <c r="P132" s="109"/>
      <c r="Q132" s="46"/>
      <c r="R132" s="46"/>
      <c r="S132" s="46"/>
      <c r="T132" s="46"/>
      <c r="U132" s="46"/>
      <c r="V132" s="32"/>
    </row>
    <row r="133" spans="1:24" s="34" customFormat="1" ht="17.25" thickBot="1" x14ac:dyDescent="0.35">
      <c r="A133" s="25"/>
      <c r="B133" s="109" t="s">
        <v>10</v>
      </c>
      <c r="C133" s="109"/>
      <c r="D133" s="118"/>
      <c r="E133" s="118"/>
      <c r="F133" s="118"/>
      <c r="G133" s="118"/>
      <c r="H133" s="258">
        <f>IFERROR(VLOOKUP(H131,'1 - Strom Erdgas Wärme Vgl'!H:AA,18,FALSE),"")</f>
        <v>0</v>
      </c>
      <c r="I133" s="49"/>
      <c r="J133" s="50"/>
      <c r="K133" s="50"/>
      <c r="L133" s="50"/>
      <c r="M133" s="50"/>
      <c r="N133" s="50"/>
      <c r="O133" s="33" t="s">
        <v>4</v>
      </c>
      <c r="P133" s="109" t="s">
        <v>11</v>
      </c>
      <c r="Q133" s="46"/>
      <c r="R133" s="46"/>
      <c r="S133" s="46"/>
      <c r="T133" s="46"/>
      <c r="U133" s="46"/>
      <c r="V133" s="32"/>
    </row>
    <row r="134" spans="1:24" s="34" customFormat="1" ht="17.25" thickBot="1" x14ac:dyDescent="0.35">
      <c r="A134" s="25"/>
      <c r="B134" s="109" t="str" cm="1">
        <f t="array" ref="B134">_xlfn.IFS(OR(ISBLANK(H133),H133=0),"Bitte Energieart auswählen!",TRUE(),"Arbeitspreis pro kWh " &amp; H133 &amp; " in EUR")</f>
        <v>Bitte Energieart auswählen!</v>
      </c>
      <c r="C134" s="109"/>
      <c r="D134" s="118"/>
      <c r="E134" s="118"/>
      <c r="F134" s="118"/>
      <c r="G134" s="138">
        <f>IFERROR(SUMPRODUCT(I134:N134,I135:N135),"")</f>
        <v>0</v>
      </c>
      <c r="H134" s="109"/>
      <c r="I134" s="267"/>
      <c r="J134" s="267"/>
      <c r="K134" s="267"/>
      <c r="L134" s="267"/>
      <c r="M134" s="267"/>
      <c r="N134" s="267"/>
      <c r="O134" s="33" t="s">
        <v>4</v>
      </c>
      <c r="P134" s="109" t="str">
        <f>IF(OR(ISBLANK(H133),H133=0),"Bitte Energieart auswählen!",H133 &amp; "kosten exkl. Steuern, Abgaben, Netzentgelte, etc.")</f>
        <v>Bitte Energieart auswählen!</v>
      </c>
      <c r="Q134" s="32"/>
      <c r="R134" s="32"/>
      <c r="S134" s="51"/>
      <c r="T134" s="38"/>
      <c r="U134" s="39"/>
      <c r="V134" s="32"/>
    </row>
    <row r="135" spans="1:24" s="34" customFormat="1" ht="17.25" thickBot="1" x14ac:dyDescent="0.35">
      <c r="A135" s="25"/>
      <c r="B135" s="109" t="str">
        <f>IF(OR(ISBLANK(H133),H133=0),"Bitte Energieart auswählen!",IF(H132="Nein","Aliquoter ","") &amp; H133 &amp;"verbrauch in kWh " &amp; par_FZ_Text)</f>
        <v>Bitte Energieart auswählen!</v>
      </c>
      <c r="C135" s="109"/>
      <c r="D135" s="118"/>
      <c r="E135" s="118"/>
      <c r="F135" s="118"/>
      <c r="G135" s="118"/>
      <c r="H135" s="126">
        <f>SUM(I135:N135)</f>
        <v>0</v>
      </c>
      <c r="I135" s="259" t="str">
        <f>IFERROR(IF($H132="Nein",VLOOKUP(CONCATENATE($H131,"_",$H133),'1 - Strom Erdgas Wärme Vgl'!$W:$AA,5,FALSE)/par_VZ_Monate,""),"")</f>
        <v/>
      </c>
      <c r="J135" s="259" t="str">
        <f>IFERROR(IF($H132="Nein",VLOOKUP(CONCATENATE($H131,"_",$H133),'1 - Strom Erdgas Wärme Vgl'!$W:$AA,5,FALSE)/par_VZ_Monate,""),"")</f>
        <v/>
      </c>
      <c r="K135" s="259" t="str">
        <f>IFERROR(IF($H132="Nein",VLOOKUP(CONCATENATE($H131,"_",$H133),'1 - Strom Erdgas Wärme Vgl'!$W:$AA,5,FALSE)/par_VZ_Monate,""),"")</f>
        <v/>
      </c>
      <c r="L135" s="259" t="str">
        <f>IFERROR(IF($H132="Nein",VLOOKUP(CONCATENATE($H131,"_",$H133),'1 - Strom Erdgas Wärme Vgl'!$W:$AA,5,FALSE)/par_VZ_Monate,""),"")</f>
        <v/>
      </c>
      <c r="M135" s="259" t="str">
        <f>IFERROR(IF($H132="Nein",VLOOKUP(CONCATENATE($H131,"_",$H133),'1 - Strom Erdgas Wärme Vgl'!$W:$AA,5,FALSE)/par_VZ_Monate,""),"")</f>
        <v/>
      </c>
      <c r="N135" s="259" t="str">
        <f>IFERROR(IF($H132="Nein",VLOOKUP(CONCATENATE($H131,"_",$H133),'1 - Strom Erdgas Wärme Vgl'!$W:$AA,5,FALSE)/par_VZ_Monate,""),"")</f>
        <v/>
      </c>
      <c r="O135" s="33" t="s">
        <v>4</v>
      </c>
      <c r="P135" s="135" t="str">
        <f>IFERROR(IF(H132="Nein","Vorbefüllte Verbrauchswerte wurden aliquot (d.h. 1/" &amp; par_VZ_Monate &amp; ") aus dem Jahr " &amp; par_Jahr1 &amp; " übernommen.","Bitte ergänzen Sie die monatlichen Verbrauchswerte gem. Lastprofilzähler"),"")</f>
        <v>Bitte ergänzen Sie die monatlichen Verbrauchswerte gem. Lastprofilzähler</v>
      </c>
      <c r="Q135" s="52"/>
      <c r="R135" s="52"/>
      <c r="S135" s="52"/>
      <c r="T135" s="52"/>
      <c r="U135" s="52"/>
      <c r="V135" s="52"/>
    </row>
    <row r="136" spans="1:24" x14ac:dyDescent="0.3">
      <c r="B136" s="109" t="str">
        <f>IF(H133="Wärme/Kälte","Energiemix: Anteil in % der aus Strom oder Erdgas erzeugten Wärme/Kälte","")</f>
        <v/>
      </c>
      <c r="C136" s="31"/>
      <c r="D136" s="65"/>
      <c r="E136" s="65"/>
      <c r="F136" s="86">
        <f>IFERROR(SUMPRODUCT(I136:N136,I135:N135),"")</f>
        <v>0</v>
      </c>
      <c r="G136" s="86"/>
      <c r="H136" s="31"/>
      <c r="I136" s="268"/>
      <c r="J136" s="269"/>
      <c r="K136" s="268"/>
      <c r="L136" s="269"/>
      <c r="M136" s="268"/>
      <c r="N136" s="269"/>
      <c r="O136" s="33" t="str">
        <f>IF(H133="Wärme/Kälte","i","")</f>
        <v/>
      </c>
      <c r="P136" s="109" t="str">
        <f>IF(H133="Wärme/Kälte","Bitte geben Sie den Anteil in % (von 0 bis 100, ohne Prozentzeichen) der direkt aus Strom oder Erdgas erzeugten Wärme/Kälte.","")</f>
        <v/>
      </c>
      <c r="Q136" s="31"/>
      <c r="R136" s="31"/>
      <c r="S136" s="31"/>
      <c r="T136" s="31"/>
      <c r="U136" s="31"/>
      <c r="V136" s="31"/>
      <c r="W136" s="34"/>
      <c r="X136" s="34"/>
    </row>
    <row r="137" spans="1:24" x14ac:dyDescent="0.3">
      <c r="B137" s="31"/>
      <c r="C137" s="31"/>
      <c r="D137" s="65"/>
      <c r="E137" s="65"/>
      <c r="F137" s="65"/>
      <c r="G137" s="65"/>
      <c r="H137" s="31"/>
      <c r="I137" s="31"/>
      <c r="J137" s="31"/>
      <c r="K137" s="31"/>
      <c r="L137" s="31"/>
      <c r="M137" s="31"/>
      <c r="N137" s="31"/>
      <c r="O137" s="33"/>
      <c r="P137" s="32"/>
      <c r="Q137" s="31"/>
      <c r="R137" s="31"/>
      <c r="S137" s="31"/>
      <c r="T137" s="31"/>
      <c r="U137" s="31"/>
      <c r="V137" s="31"/>
      <c r="W137" s="34"/>
      <c r="X137" s="34"/>
    </row>
  </sheetData>
  <sheetProtection algorithmName="SHA-512" hashValue="hHwimWhkLCGWsYedfI2FMZFbRh/6Su7KDvrB274keyySQ6B1U+/cU3N4xBtJQV5L1L1s70lOevZdasKTfqtMQA==" saltValue="8uHenw6CKJkpO2AGU+5NNw==" spinCount="100000" sheet="1" formatCells="0" formatColumns="0" formatRows="0" insertColumns="0" insertRows="0" insertHyperlinks="0" deleteColumns="0" deleteRows="0" sort="0" autoFilter="0" pivotTables="0"/>
  <conditionalFormatting sqref="I48:N48">
    <cfRule type="expression" dxfId="87" priority="82">
      <formula>OR(ISBLANK($H45),$H45="Strom",$H45="Erdgas")</formula>
    </cfRule>
    <cfRule type="expression" dxfId="86" priority="85">
      <formula>$H45="Wärme/Kälte"</formula>
    </cfRule>
  </conditionalFormatting>
  <conditionalFormatting sqref="K49:M49">
    <cfRule type="expression" dxfId="85" priority="87">
      <formula>I46="Wärme/Kälte"</formula>
    </cfRule>
  </conditionalFormatting>
  <conditionalFormatting sqref="N49">
    <cfRule type="expression" dxfId="84" priority="218">
      <formula>K46="Wärme/Kälte"</formula>
    </cfRule>
  </conditionalFormatting>
  <conditionalFormatting sqref="I56:N56">
    <cfRule type="expression" dxfId="83" priority="50">
      <formula>OR(ISBLANK($H53),$H53="Strom",$H53="Erdgas")</formula>
    </cfRule>
    <cfRule type="expression" dxfId="82" priority="51">
      <formula>$H53="Wärme/Kälte"</formula>
    </cfRule>
  </conditionalFormatting>
  <conditionalFormatting sqref="K57:M57">
    <cfRule type="expression" dxfId="81" priority="52">
      <formula>I54="Wärme/Kälte"</formula>
    </cfRule>
  </conditionalFormatting>
  <conditionalFormatting sqref="N57">
    <cfRule type="expression" dxfId="80" priority="53">
      <formula>K54="Wärme/Kälte"</formula>
    </cfRule>
  </conditionalFormatting>
  <conditionalFormatting sqref="I64:N64">
    <cfRule type="expression" dxfId="79" priority="46">
      <formula>OR(ISBLANK($H61),$H61="Strom",$H61="Erdgas")</formula>
    </cfRule>
    <cfRule type="expression" dxfId="78" priority="47">
      <formula>$H61="Wärme/Kälte"</formula>
    </cfRule>
  </conditionalFormatting>
  <conditionalFormatting sqref="K65:M65">
    <cfRule type="expression" dxfId="77" priority="48">
      <formula>I62="Wärme/Kälte"</formula>
    </cfRule>
  </conditionalFormatting>
  <conditionalFormatting sqref="N65">
    <cfRule type="expression" dxfId="76" priority="49">
      <formula>K62="Wärme/Kälte"</formula>
    </cfRule>
  </conditionalFormatting>
  <conditionalFormatting sqref="I72:N72">
    <cfRule type="expression" dxfId="75" priority="42">
      <formula>OR(ISBLANK($H69),$H69="Strom",$H69="Erdgas")</formula>
    </cfRule>
    <cfRule type="expression" dxfId="74" priority="43">
      <formula>$H69="Wärme/Kälte"</formula>
    </cfRule>
  </conditionalFormatting>
  <conditionalFormatting sqref="K73:M73">
    <cfRule type="expression" dxfId="73" priority="44">
      <formula>I70="Wärme/Kälte"</formula>
    </cfRule>
  </conditionalFormatting>
  <conditionalFormatting sqref="N73">
    <cfRule type="expression" dxfId="72" priority="45">
      <formula>K70="Wärme/Kälte"</formula>
    </cfRule>
  </conditionalFormatting>
  <conditionalFormatting sqref="I80:N80">
    <cfRule type="expression" dxfId="71" priority="38">
      <formula>OR(ISBLANK($H77),$H77="Strom",$H77="Erdgas")</formula>
    </cfRule>
    <cfRule type="expression" dxfId="70" priority="39">
      <formula>$H77="Wärme/Kälte"</formula>
    </cfRule>
  </conditionalFormatting>
  <conditionalFormatting sqref="K81:M81">
    <cfRule type="expression" dxfId="69" priority="40">
      <formula>I78="Wärme/Kälte"</formula>
    </cfRule>
  </conditionalFormatting>
  <conditionalFormatting sqref="N81">
    <cfRule type="expression" dxfId="68" priority="41">
      <formula>K78="Wärme/Kälte"</formula>
    </cfRule>
  </conditionalFormatting>
  <conditionalFormatting sqref="I88:N88">
    <cfRule type="expression" dxfId="67" priority="34">
      <formula>OR(ISBLANK($H85),$H85="Strom",$H85="Erdgas")</formula>
    </cfRule>
    <cfRule type="expression" dxfId="66" priority="35">
      <formula>$H85="Wärme/Kälte"</formula>
    </cfRule>
  </conditionalFormatting>
  <conditionalFormatting sqref="K89:M89">
    <cfRule type="expression" dxfId="65" priority="36">
      <formula>I86="Wärme/Kälte"</formula>
    </cfRule>
  </conditionalFormatting>
  <conditionalFormatting sqref="N89">
    <cfRule type="expression" dxfId="64" priority="37">
      <formula>K86="Wärme/Kälte"</formula>
    </cfRule>
  </conditionalFormatting>
  <conditionalFormatting sqref="I96:N96">
    <cfRule type="expression" dxfId="63" priority="30">
      <formula>OR(ISBLANK($H93),$H93="Strom",$H93="Erdgas")</formula>
    </cfRule>
    <cfRule type="expression" dxfId="62" priority="31">
      <formula>$H93="Wärme/Kälte"</formula>
    </cfRule>
  </conditionalFormatting>
  <conditionalFormatting sqref="K97:M97">
    <cfRule type="expression" dxfId="61" priority="32">
      <formula>I94="Wärme/Kälte"</formula>
    </cfRule>
  </conditionalFormatting>
  <conditionalFormatting sqref="N97">
    <cfRule type="expression" dxfId="60" priority="33">
      <formula>K94="Wärme/Kälte"</formula>
    </cfRule>
  </conditionalFormatting>
  <conditionalFormatting sqref="I104:N104">
    <cfRule type="expression" dxfId="59" priority="26">
      <formula>OR(ISBLANK($H101),$H101="Strom",$H101="Erdgas")</formula>
    </cfRule>
    <cfRule type="expression" dxfId="58" priority="27">
      <formula>$H101="Wärme/Kälte"</formula>
    </cfRule>
  </conditionalFormatting>
  <conditionalFormatting sqref="K105:M105">
    <cfRule type="expression" dxfId="57" priority="28">
      <formula>I102="Wärme/Kälte"</formula>
    </cfRule>
  </conditionalFormatting>
  <conditionalFormatting sqref="N105">
    <cfRule type="expression" dxfId="56" priority="29">
      <formula>K102="Wärme/Kälte"</formula>
    </cfRule>
  </conditionalFormatting>
  <conditionalFormatting sqref="I112:N112">
    <cfRule type="expression" dxfId="55" priority="22">
      <formula>OR(ISBLANK($H109),$H109="Strom",$H109="Erdgas")</formula>
    </cfRule>
    <cfRule type="expression" dxfId="54" priority="23">
      <formula>$H109="Wärme/Kälte"</formula>
    </cfRule>
  </conditionalFormatting>
  <conditionalFormatting sqref="K113:M113">
    <cfRule type="expression" dxfId="53" priority="24">
      <formula>I110="Wärme/Kälte"</formula>
    </cfRule>
  </conditionalFormatting>
  <conditionalFormatting sqref="N113">
    <cfRule type="expression" dxfId="52" priority="25">
      <formula>K110="Wärme/Kälte"</formula>
    </cfRule>
  </conditionalFormatting>
  <conditionalFormatting sqref="I120:N120">
    <cfRule type="expression" dxfId="51" priority="18">
      <formula>OR(ISBLANK($H117),$H117="Strom",$H117="Erdgas")</formula>
    </cfRule>
    <cfRule type="expression" dxfId="50" priority="19">
      <formula>$H117="Wärme/Kälte"</formula>
    </cfRule>
  </conditionalFormatting>
  <conditionalFormatting sqref="K121:M121">
    <cfRule type="expression" dxfId="49" priority="20">
      <formula>I118="Wärme/Kälte"</formula>
    </cfRule>
  </conditionalFormatting>
  <conditionalFormatting sqref="N121">
    <cfRule type="expression" dxfId="48" priority="21">
      <formula>K118="Wärme/Kälte"</formula>
    </cfRule>
  </conditionalFormatting>
  <conditionalFormatting sqref="I128:N128">
    <cfRule type="expression" dxfId="47" priority="14">
      <formula>OR(ISBLANK($H125),$H125="Strom",$H125="Erdgas")</formula>
    </cfRule>
    <cfRule type="expression" dxfId="46" priority="15">
      <formula>$H125="Wärme/Kälte"</formula>
    </cfRule>
  </conditionalFormatting>
  <conditionalFormatting sqref="K129:M129">
    <cfRule type="expression" dxfId="45" priority="16">
      <formula>I126="Wärme/Kälte"</formula>
    </cfRule>
  </conditionalFormatting>
  <conditionalFormatting sqref="N129">
    <cfRule type="expression" dxfId="44" priority="17">
      <formula>K126="Wärme/Kälte"</formula>
    </cfRule>
  </conditionalFormatting>
  <conditionalFormatting sqref="I136:N136">
    <cfRule type="expression" dxfId="43" priority="10">
      <formula>OR(ISBLANK($H133),$H133="Strom",$H133="Erdgas")</formula>
    </cfRule>
    <cfRule type="expression" dxfId="42" priority="11">
      <formula>$H133="Wärme/Kälte"</formula>
    </cfRule>
  </conditionalFormatting>
  <conditionalFormatting sqref="K137:M137">
    <cfRule type="expression" dxfId="41" priority="12">
      <formula>I134="Wärme/Kälte"</formula>
    </cfRule>
  </conditionalFormatting>
  <conditionalFormatting sqref="N137">
    <cfRule type="expression" dxfId="40" priority="13">
      <formula>K134="Wärme/Kälte"</formula>
    </cfRule>
  </conditionalFormatting>
  <conditionalFormatting sqref="J19:K19">
    <cfRule type="expression" dxfId="39" priority="9">
      <formula>SEARCH("JA",$AA19)</formula>
    </cfRule>
  </conditionalFormatting>
  <conditionalFormatting sqref="J28:K28">
    <cfRule type="expression" dxfId="38" priority="8">
      <formula>SEARCH("JA",$AA28)</formula>
    </cfRule>
  </conditionalFormatting>
  <conditionalFormatting sqref="J38:K38">
    <cfRule type="expression" dxfId="37" priority="7">
      <formula>SEARCH("JA",$AA38)</formula>
    </cfRule>
  </conditionalFormatting>
  <conditionalFormatting sqref="H18:I18">
    <cfRule type="expression" dxfId="36" priority="6">
      <formula>SEARCH("JA",$V$18)</formula>
    </cfRule>
  </conditionalFormatting>
  <conditionalFormatting sqref="H27:I27">
    <cfRule type="expression" dxfId="35" priority="5">
      <formula>SEARCH("JA",$V$27)</formula>
    </cfRule>
  </conditionalFormatting>
  <conditionalFormatting sqref="H37:I37">
    <cfRule type="expression" dxfId="34" priority="4">
      <formula>SEARCH("JA",$V$37)</formula>
    </cfRule>
  </conditionalFormatting>
  <conditionalFormatting sqref="H36:I36 J38:K38">
    <cfRule type="expression" dxfId="33" priority="3">
      <formula>SEARCH("JA",$V$36)</formula>
    </cfRule>
  </conditionalFormatting>
  <conditionalFormatting sqref="H26:I26 J28:K28">
    <cfRule type="expression" dxfId="32" priority="2">
      <formula>SEARCH("JA",$V$26)</formula>
    </cfRule>
  </conditionalFormatting>
  <conditionalFormatting sqref="H17:I17 J19:K19">
    <cfRule type="expression" dxfId="31" priority="1">
      <formula>SEARCH("JA",$V$17)</formula>
    </cfRule>
  </conditionalFormatting>
  <dataValidations count="5">
    <dataValidation type="textLength" errorStyle="information" operator="equal" allowBlank="1" showErrorMessage="1" errorTitle="Achtung" error="Bitte geben Sie nur die letzten vier Stellen Ihrer Zählpunktnummer an." sqref="T8:U9">
      <formula1>4</formula1>
    </dataValidation>
    <dataValidation type="list" allowBlank="1" showInputMessage="1" showErrorMessage="1" errorTitle="Achtung" error="Bitte hier nur &quot;Ja&quot; oder &quot;Nein&quot; auswählen.&quot;" sqref="H108 H92 H100 H116 H124 H132 H52 H60 H68 H76 H84 H44">
      <formula1>Lastprofilzähler</formula1>
    </dataValidation>
    <dataValidation type="whole" errorStyle="information" allowBlank="1" showInputMessage="1" showErrorMessage="1" errorTitle="Achtung" error="Bitte geben Sie nur die letzten vier Stellen Ihrer Zählpunktnummer an." sqref="H107 H91 H99 H115 H43 H123 H51 H59 H67 H75 H83 H131">
      <formula1>0</formula1>
      <formula2>9999</formula2>
    </dataValidation>
    <dataValidation type="list" allowBlank="1" showInputMessage="1" showErrorMessage="1" sqref="H109 H93 H101 H117 H125 H45 H53 H61 H69 H77 H85 H133">
      <formula1>Energieart</formula1>
    </dataValidation>
    <dataValidation type="decimal" allowBlank="1" showInputMessage="1" showErrorMessage="1" errorTitle="Prozentangabe" error="Anteil muss zwischen 0,00 und 100,00 liegen." sqref="I128:N128 I48:N48 I56:N56 I64:N64 I72:N72 I80:N80 I88:N88 I96:N96 I104:N104 I112:N112 I120:N120 I136:N136">
      <formula1>0</formula1>
      <formula2>100</formula2>
    </dataValidation>
  </dataValidations>
  <pageMargins left="0.7" right="0.7" top="0.78740157499999996" bottom="0.78740157499999996" header="0.3" footer="0.3"/>
  <pageSetup paperSize="9" scale="32" orientation="portrait" r:id="rId1"/>
  <rowBreaks count="2" manualBreakCount="2">
    <brk id="73" max="16383" man="1"/>
    <brk id="136" max="16383" man="1"/>
  </rowBreaks>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Tabelle8"/>
  <dimension ref="A1:U138"/>
  <sheetViews>
    <sheetView showGridLines="0" zoomScale="95" zoomScaleNormal="95" workbookViewId="0">
      <selection activeCell="C13" sqref="C13"/>
    </sheetView>
  </sheetViews>
  <sheetFormatPr baseColWidth="10" defaultColWidth="10.7109375" defaultRowHeight="16.5" x14ac:dyDescent="0.3"/>
  <cols>
    <col min="1" max="1" width="1.7109375" style="25" customWidth="1"/>
    <col min="2" max="2" width="3.28515625" style="25" customWidth="1"/>
    <col min="3" max="3" width="14.42578125" style="238" customWidth="1"/>
    <col min="4" max="4" width="17.42578125" style="238" customWidth="1"/>
    <col min="5" max="5" width="24.42578125" style="238" customWidth="1"/>
    <col min="6" max="6" width="21.5703125" style="238" customWidth="1"/>
    <col min="7" max="7" width="21.28515625" style="238" customWidth="1"/>
    <col min="8" max="8" width="19" style="238" customWidth="1"/>
    <col min="9" max="9" width="17.7109375" style="238" customWidth="1"/>
    <col min="10" max="10" width="33.28515625" style="238" customWidth="1"/>
    <col min="11" max="11" width="33.28515625" style="239" customWidth="1"/>
    <col min="12" max="12" width="16.85546875" style="95" customWidth="1"/>
    <col min="13" max="15" width="13.7109375" style="95" customWidth="1"/>
    <col min="16" max="18" width="13.7109375" style="25" customWidth="1"/>
    <col min="19" max="19" width="7" style="25" customWidth="1"/>
    <col min="20" max="20" width="17.7109375" style="25" customWidth="1"/>
    <col min="21" max="16384" width="10.7109375" style="25"/>
  </cols>
  <sheetData>
    <row r="1" spans="1:21" ht="27" x14ac:dyDescent="0.5">
      <c r="B1" s="27" t="s">
        <v>0</v>
      </c>
      <c r="C1" s="25"/>
      <c r="D1" s="25"/>
      <c r="E1" s="25"/>
      <c r="F1" s="25"/>
      <c r="G1" s="25"/>
      <c r="H1" s="25"/>
      <c r="I1" s="25"/>
      <c r="J1" s="25"/>
      <c r="K1" s="34"/>
    </row>
    <row r="2" spans="1:21" ht="31.15" customHeight="1" x14ac:dyDescent="0.3">
      <c r="B2" s="157" t="s">
        <v>208</v>
      </c>
      <c r="C2" s="28"/>
      <c r="D2" s="28"/>
      <c r="E2" s="28"/>
      <c r="F2" s="30"/>
      <c r="G2" s="30"/>
      <c r="H2" s="30"/>
      <c r="I2" s="30"/>
      <c r="J2" s="30"/>
      <c r="K2" s="35"/>
      <c r="L2" s="96"/>
      <c r="M2" s="96"/>
      <c r="N2" s="96"/>
      <c r="O2" s="96"/>
    </row>
    <row r="3" spans="1:21" ht="18.75" x14ac:dyDescent="0.4">
      <c r="A3" s="80"/>
      <c r="B3" s="80"/>
      <c r="C3" s="36" t="s">
        <v>83</v>
      </c>
      <c r="D3" s="80"/>
      <c r="E3" s="80"/>
      <c r="F3" s="80"/>
      <c r="G3" s="80"/>
      <c r="H3" s="80"/>
      <c r="I3" s="80"/>
      <c r="J3" s="80"/>
      <c r="K3" s="87"/>
      <c r="L3" s="249" t="s">
        <v>211</v>
      </c>
      <c r="M3" s="250"/>
      <c r="N3" s="250"/>
      <c r="O3" s="250"/>
      <c r="P3" s="250"/>
      <c r="Q3" s="250"/>
      <c r="R3" s="250"/>
      <c r="S3" s="232"/>
      <c r="T3" s="103"/>
    </row>
    <row r="4" spans="1:21" ht="18.75" x14ac:dyDescent="0.4">
      <c r="A4" s="80"/>
      <c r="B4" s="80"/>
      <c r="C4" s="36"/>
      <c r="D4" s="80"/>
      <c r="E4" s="80"/>
      <c r="F4" s="80"/>
      <c r="G4" s="80"/>
      <c r="H4" s="80"/>
      <c r="I4" s="80"/>
      <c r="J4" s="80"/>
      <c r="K4" s="87"/>
      <c r="L4" s="251" t="s">
        <v>212</v>
      </c>
      <c r="M4" s="295" t="s">
        <v>14</v>
      </c>
      <c r="N4" s="295"/>
      <c r="O4" s="295"/>
      <c r="P4" s="295" t="s">
        <v>9</v>
      </c>
      <c r="Q4" s="295"/>
      <c r="R4" s="295"/>
      <c r="S4" s="232"/>
      <c r="T4" s="103"/>
    </row>
    <row r="5" spans="1:21" ht="30" x14ac:dyDescent="0.4">
      <c r="A5" s="80"/>
      <c r="B5" s="80"/>
      <c r="C5" s="36"/>
      <c r="D5" s="80"/>
      <c r="E5" s="80"/>
      <c r="F5" s="80"/>
      <c r="G5" s="80"/>
      <c r="H5" s="80"/>
      <c r="I5" s="80"/>
      <c r="J5" s="80"/>
      <c r="K5" s="87"/>
      <c r="L5" s="252" t="s">
        <v>213</v>
      </c>
      <c r="M5" s="253" t="s">
        <v>68</v>
      </c>
      <c r="N5" s="252" t="s">
        <v>214</v>
      </c>
      <c r="O5" s="252" t="s">
        <v>66</v>
      </c>
      <c r="P5" s="253" t="s">
        <v>68</v>
      </c>
      <c r="Q5" s="252" t="s">
        <v>214</v>
      </c>
      <c r="R5" s="252" t="s">
        <v>66</v>
      </c>
      <c r="S5" s="232"/>
      <c r="T5" s="103"/>
    </row>
    <row r="6" spans="1:21" ht="18.75" x14ac:dyDescent="0.4">
      <c r="A6" s="80"/>
      <c r="B6" s="80"/>
      <c r="C6" s="36"/>
      <c r="D6" s="80"/>
      <c r="E6" s="80"/>
      <c r="F6" s="80"/>
      <c r="G6" s="80"/>
      <c r="H6" s="80"/>
      <c r="I6" s="80"/>
      <c r="J6" s="80"/>
      <c r="K6" s="87"/>
      <c r="L6" s="254" t="s">
        <v>198</v>
      </c>
      <c r="M6" s="255">
        <f>SUMIFS($H:$H,$E:$E,LEFT($L6,6),$J:$J,$M$4,$K:$K,"&lt;&gt;"&amp;$L7)</f>
        <v>0</v>
      </c>
      <c r="N6" s="255">
        <f>SUMIFS($G:$G,$E:$E,LEFT($L6,6),$J:$J,$M$4,$K:$K,"&lt;&gt;"&amp;$L7)</f>
        <v>0</v>
      </c>
      <c r="O6" s="255">
        <f>SUMIFS($F:$F,$E:$E,LEFT($L6,6),$J:$J,$M$4,$K:$K,"&lt;&gt;"&amp;$L7)</f>
        <v>0</v>
      </c>
      <c r="P6" s="255">
        <f>SUMIFS($H:$H,$E:$E,LEFT($L6,6),$J:$J,$P$4,$K:$K,"&lt;&gt;"&amp;$L7)</f>
        <v>0</v>
      </c>
      <c r="Q6" s="255">
        <f>SUMIFS($G:$G,$E:$E,LEFT($L6,6),$J:$J,$P$4,$K:$K,"&lt;&gt;"&amp;$L7)</f>
        <v>0</v>
      </c>
      <c r="R6" s="255">
        <f>SUMIFS($F:$F,$E:$E,LEFT($L6,6),$J:$J,$P$4,$K:$K,"&lt;&gt;"&amp;$L7)</f>
        <v>0</v>
      </c>
      <c r="S6" s="232"/>
      <c r="T6" s="103"/>
    </row>
    <row r="7" spans="1:21" ht="18.75" x14ac:dyDescent="0.4">
      <c r="A7" s="80"/>
      <c r="B7" s="80"/>
      <c r="C7" s="36"/>
      <c r="D7" s="80"/>
      <c r="E7" s="80"/>
      <c r="F7" s="80"/>
      <c r="G7" s="80"/>
      <c r="H7" s="80"/>
      <c r="I7" s="80"/>
      <c r="J7" s="80"/>
      <c r="K7" s="87"/>
      <c r="L7" s="254" t="s">
        <v>196</v>
      </c>
      <c r="M7" s="255">
        <f>SUMIFS($H:$H,$J:$J,$M$4,$K:$K,$L7)</f>
        <v>0</v>
      </c>
      <c r="N7" s="255">
        <f>SUMIFS($G:$G,$J:$J,$M$4,$K:$K,$L7)</f>
        <v>0</v>
      </c>
      <c r="O7" s="255">
        <f>SUMIFS($F:$F,$J:$J,$M$4,$K:$K,$L7)</f>
        <v>0</v>
      </c>
      <c r="P7" s="255">
        <f>SUMIFS($H:$H,$J:$J,$P$4,$K:$K,$L7)</f>
        <v>0</v>
      </c>
      <c r="Q7" s="255">
        <f>SUMIFS($G:$G,$J:$J,$P$4,$K:$K,$L7)</f>
        <v>0</v>
      </c>
      <c r="R7" s="255">
        <f>SUMIFS($F:$F,$J:$J,$P$4,$K:$K,$L7)</f>
        <v>0</v>
      </c>
      <c r="S7" s="232"/>
      <c r="T7" s="103"/>
    </row>
    <row r="8" spans="1:21" ht="18.75" x14ac:dyDescent="0.4">
      <c r="A8" s="80"/>
      <c r="B8" s="80"/>
      <c r="C8" s="36"/>
      <c r="D8" s="80"/>
      <c r="E8" s="80"/>
      <c r="F8" s="80"/>
      <c r="G8" s="80"/>
      <c r="H8" s="80"/>
      <c r="I8" s="80"/>
      <c r="J8" s="80"/>
      <c r="K8" s="87"/>
      <c r="L8" s="254" t="s">
        <v>199</v>
      </c>
      <c r="M8" s="255">
        <f>SUMIFS($H:$H,$E:$E,LEFT($L8,6),$J:$J,$M$4,$K:$K,"&lt;&gt;"&amp;$L9)</f>
        <v>0</v>
      </c>
      <c r="N8" s="255">
        <f>SUMIFS($G:$G,$E:$E,LEFT($L8,6),$J:$J,$M$4,$K:$K,"&lt;&gt;"&amp;$L9)</f>
        <v>0</v>
      </c>
      <c r="O8" s="255">
        <f>SUMIFS($F:$F,$E:$E,LEFT($L8,6),$J:$J,$M$4,$K:$K,"&lt;&gt;"&amp;$L9)</f>
        <v>0</v>
      </c>
      <c r="P8" s="255">
        <f>SUMIFS($H:$H,$E:$E,LEFT($L8,6),$J:$J,$P$4,$K:$K,"&lt;&gt;"&amp;$L9)</f>
        <v>0</v>
      </c>
      <c r="Q8" s="255">
        <f>SUMIFS($G:$G,$E:$E,LEFT($L8,6),$J:$J,$P$4,$K:$K,"&lt;&gt;"&amp;$L9)</f>
        <v>0</v>
      </c>
      <c r="R8" s="255">
        <f>SUMIFS($F:$F,$E:$E,LEFT($L8,6),$J:$J,$P$4,$K:$K,"&lt;&gt;"&amp;$L9)</f>
        <v>0</v>
      </c>
      <c r="S8" s="232"/>
      <c r="T8" s="103"/>
    </row>
    <row r="9" spans="1:21" ht="18.75" x14ac:dyDescent="0.4">
      <c r="A9" s="80"/>
      <c r="B9" s="80"/>
      <c r="C9" s="36"/>
      <c r="D9" s="80"/>
      <c r="E9" s="80"/>
      <c r="F9" s="80"/>
      <c r="G9" s="80"/>
      <c r="H9" s="80"/>
      <c r="I9" s="80"/>
      <c r="J9" s="80"/>
      <c r="K9" s="87"/>
      <c r="L9" s="254" t="s">
        <v>197</v>
      </c>
      <c r="M9" s="255">
        <f>SUMIFS($H:$H,$J:$J,$M$4,$K:$K,$L9)</f>
        <v>0</v>
      </c>
      <c r="N9" s="255">
        <f>SUMIFS($G:$G,$J:$J,$M$4,$K:$K,$L9)</f>
        <v>0</v>
      </c>
      <c r="O9" s="255">
        <f>SUMIFS($F:$F,$J:$J,$M$4,$K:$K,$L9)</f>
        <v>0</v>
      </c>
      <c r="P9" s="255">
        <f>SUMIFS($H:$H,$J:$J,$P$4,$K:$K,$L9)</f>
        <v>0</v>
      </c>
      <c r="Q9" s="255">
        <f>SUMIFS($G:$G,$J:$J,$P$4,$K:$K,$L9)</f>
        <v>0</v>
      </c>
      <c r="R9" s="255">
        <f>SUMIFS($F:$F,$J:$J,$P$4,$K:$K,$L9)</f>
        <v>0</v>
      </c>
      <c r="S9" s="232"/>
      <c r="T9" s="103"/>
    </row>
    <row r="10" spans="1:21" ht="18.75" x14ac:dyDescent="0.4">
      <c r="A10" s="80"/>
      <c r="B10" s="80"/>
      <c r="C10" s="36"/>
      <c r="D10" s="80"/>
      <c r="E10" s="80"/>
      <c r="F10" s="80"/>
      <c r="G10" s="80"/>
      <c r="H10" s="80"/>
      <c r="I10" s="80"/>
      <c r="J10" s="80"/>
      <c r="K10" s="87"/>
      <c r="L10" s="97"/>
      <c r="M10" s="97"/>
      <c r="N10" s="97"/>
      <c r="O10" s="97"/>
      <c r="P10" s="80"/>
      <c r="Q10" s="80"/>
      <c r="R10" s="80"/>
      <c r="S10" s="232"/>
      <c r="T10" s="103"/>
    </row>
    <row r="11" spans="1:21" ht="43.9" customHeight="1" x14ac:dyDescent="0.25">
      <c r="A11" s="98"/>
      <c r="B11" s="98"/>
      <c r="C11" s="158" t="s">
        <v>63</v>
      </c>
      <c r="D11" s="158" t="s">
        <v>64</v>
      </c>
      <c r="E11" s="159" t="s">
        <v>65</v>
      </c>
      <c r="F11" s="159" t="s">
        <v>66</v>
      </c>
      <c r="G11" s="158" t="s">
        <v>67</v>
      </c>
      <c r="H11" s="159" t="s">
        <v>68</v>
      </c>
      <c r="I11" s="158" t="s">
        <v>69</v>
      </c>
      <c r="J11" s="159" t="s">
        <v>209</v>
      </c>
      <c r="K11" s="159" t="s">
        <v>210</v>
      </c>
      <c r="L11" s="98"/>
      <c r="M11" s="98"/>
      <c r="N11" s="98"/>
      <c r="O11" s="98"/>
      <c r="P11" s="97"/>
      <c r="Q11" s="97"/>
      <c r="R11" s="97"/>
      <c r="S11" s="233"/>
      <c r="T11" s="95"/>
      <c r="U11" s="95"/>
    </row>
    <row r="12" spans="1:21" ht="4.9000000000000004" customHeight="1" x14ac:dyDescent="0.25">
      <c r="A12" s="99"/>
      <c r="B12" s="99"/>
      <c r="C12" s="99"/>
      <c r="D12" s="99"/>
      <c r="E12" s="99"/>
      <c r="F12" s="99"/>
      <c r="G12" s="99"/>
      <c r="H12" s="99"/>
      <c r="I12" s="99"/>
      <c r="J12" s="99"/>
      <c r="K12" s="109"/>
      <c r="L12" s="99"/>
      <c r="M12" s="99"/>
      <c r="N12" s="99"/>
      <c r="O12" s="99"/>
      <c r="P12" s="97"/>
      <c r="Q12" s="97"/>
      <c r="R12" s="97"/>
      <c r="S12" s="97"/>
      <c r="T12" s="95"/>
      <c r="U12" s="95"/>
    </row>
    <row r="13" spans="1:21" ht="15" x14ac:dyDescent="0.25">
      <c r="A13" s="99"/>
      <c r="B13" s="99"/>
      <c r="C13" s="270"/>
      <c r="D13" s="271"/>
      <c r="E13" s="260"/>
      <c r="F13" s="272"/>
      <c r="G13" s="275" t="str">
        <f t="shared" ref="G13:G44" si="0">IF(F13/par_TS_brutto&lt;&gt;0,ROUND(F13/par_TS_brutto,4),"")</f>
        <v/>
      </c>
      <c r="H13" s="273"/>
      <c r="I13" s="275" t="str">
        <f>IFERROR(ROUND(F13/H13,4),"")</f>
        <v/>
      </c>
      <c r="J13" s="274" t="s">
        <v>9</v>
      </c>
      <c r="K13" s="260" t="s">
        <v>195</v>
      </c>
      <c r="L13" s="99"/>
      <c r="M13" s="99"/>
      <c r="N13" s="99"/>
      <c r="O13" s="99"/>
      <c r="P13" s="80"/>
      <c r="Q13" s="80"/>
      <c r="R13" s="80"/>
      <c r="S13" s="80"/>
      <c r="U13" s="95"/>
    </row>
    <row r="14" spans="1:21" ht="15" x14ac:dyDescent="0.25">
      <c r="A14" s="99"/>
      <c r="B14" s="99"/>
      <c r="C14" s="270"/>
      <c r="D14" s="271"/>
      <c r="E14" s="261"/>
      <c r="F14" s="272"/>
      <c r="G14" s="275" t="str">
        <f t="shared" si="0"/>
        <v/>
      </c>
      <c r="H14" s="273"/>
      <c r="I14" s="275" t="str">
        <f t="shared" ref="I14:I77" si="1">IFERROR(ROUND(F14/H14,4),"")</f>
        <v/>
      </c>
      <c r="J14" s="274" t="s">
        <v>9</v>
      </c>
      <c r="K14" s="260" t="s">
        <v>195</v>
      </c>
      <c r="L14" s="99"/>
      <c r="M14" s="99"/>
      <c r="N14" s="99"/>
      <c r="O14" s="99"/>
      <c r="P14" s="80"/>
      <c r="Q14" s="80"/>
      <c r="R14" s="80"/>
      <c r="S14" s="80"/>
      <c r="U14" s="95"/>
    </row>
    <row r="15" spans="1:21" ht="15" x14ac:dyDescent="0.25">
      <c r="A15" s="99"/>
      <c r="B15" s="99"/>
      <c r="C15" s="270"/>
      <c r="D15" s="271"/>
      <c r="E15" s="261"/>
      <c r="F15" s="272"/>
      <c r="G15" s="275" t="str">
        <f t="shared" si="0"/>
        <v/>
      </c>
      <c r="H15" s="273"/>
      <c r="I15" s="275" t="str">
        <f t="shared" si="1"/>
        <v/>
      </c>
      <c r="J15" s="274" t="s">
        <v>9</v>
      </c>
      <c r="K15" s="260" t="s">
        <v>195</v>
      </c>
      <c r="L15" s="99"/>
      <c r="M15" s="99"/>
      <c r="N15" s="99"/>
      <c r="O15" s="99"/>
      <c r="P15" s="80"/>
      <c r="Q15" s="80"/>
      <c r="R15" s="80"/>
      <c r="S15" s="80"/>
      <c r="U15" s="95"/>
    </row>
    <row r="16" spans="1:21" ht="15" x14ac:dyDescent="0.25">
      <c r="A16" s="99"/>
      <c r="B16" s="99"/>
      <c r="C16" s="270"/>
      <c r="D16" s="271"/>
      <c r="E16" s="261"/>
      <c r="F16" s="272"/>
      <c r="G16" s="275" t="str">
        <f t="shared" si="0"/>
        <v/>
      </c>
      <c r="H16" s="273"/>
      <c r="I16" s="275" t="str">
        <f t="shared" si="1"/>
        <v/>
      </c>
      <c r="J16" s="274" t="s">
        <v>9</v>
      </c>
      <c r="K16" s="260" t="s">
        <v>195</v>
      </c>
      <c r="L16" s="99"/>
      <c r="M16" s="99"/>
      <c r="N16" s="99"/>
      <c r="O16" s="99"/>
      <c r="P16" s="80"/>
      <c r="Q16" s="80"/>
      <c r="R16" s="80"/>
      <c r="S16" s="80"/>
      <c r="U16" s="95"/>
    </row>
    <row r="17" spans="1:21" ht="15" x14ac:dyDescent="0.25">
      <c r="A17" s="99"/>
      <c r="B17" s="99"/>
      <c r="C17" s="270"/>
      <c r="D17" s="271"/>
      <c r="E17" s="261"/>
      <c r="F17" s="272"/>
      <c r="G17" s="275" t="str">
        <f t="shared" si="0"/>
        <v/>
      </c>
      <c r="H17" s="273"/>
      <c r="I17" s="275" t="str">
        <f t="shared" si="1"/>
        <v/>
      </c>
      <c r="J17" s="274" t="s">
        <v>9</v>
      </c>
      <c r="K17" s="260" t="s">
        <v>195</v>
      </c>
      <c r="L17" s="99"/>
      <c r="M17" s="99"/>
      <c r="N17" s="99"/>
      <c r="O17" s="99"/>
      <c r="P17" s="80"/>
      <c r="Q17" s="80"/>
      <c r="R17" s="80"/>
      <c r="S17" s="80"/>
      <c r="U17" s="95"/>
    </row>
    <row r="18" spans="1:21" ht="15" x14ac:dyDescent="0.25">
      <c r="A18" s="99"/>
      <c r="B18" s="99"/>
      <c r="C18" s="270"/>
      <c r="D18" s="271"/>
      <c r="E18" s="261"/>
      <c r="F18" s="272"/>
      <c r="G18" s="275" t="str">
        <f t="shared" si="0"/>
        <v/>
      </c>
      <c r="H18" s="273"/>
      <c r="I18" s="275" t="str">
        <f t="shared" si="1"/>
        <v/>
      </c>
      <c r="J18" s="274" t="s">
        <v>9</v>
      </c>
      <c r="K18" s="260" t="s">
        <v>195</v>
      </c>
      <c r="L18" s="99"/>
      <c r="M18" s="99"/>
      <c r="N18" s="99"/>
      <c r="O18" s="99"/>
      <c r="P18" s="80"/>
      <c r="Q18" s="80"/>
      <c r="R18" s="80"/>
      <c r="S18" s="80"/>
      <c r="U18" s="95"/>
    </row>
    <row r="19" spans="1:21" ht="15" x14ac:dyDescent="0.25">
      <c r="A19" s="99"/>
      <c r="B19" s="99"/>
      <c r="C19" s="270"/>
      <c r="D19" s="271"/>
      <c r="E19" s="261"/>
      <c r="F19" s="272"/>
      <c r="G19" s="275" t="str">
        <f t="shared" si="0"/>
        <v/>
      </c>
      <c r="H19" s="273"/>
      <c r="I19" s="275" t="str">
        <f t="shared" si="1"/>
        <v/>
      </c>
      <c r="J19" s="274" t="s">
        <v>9</v>
      </c>
      <c r="K19" s="260" t="s">
        <v>195</v>
      </c>
      <c r="L19" s="99"/>
      <c r="M19" s="99"/>
      <c r="N19" s="99"/>
      <c r="O19" s="99"/>
      <c r="P19" s="97"/>
      <c r="Q19" s="97"/>
      <c r="R19" s="97"/>
      <c r="S19" s="97"/>
      <c r="T19" s="95"/>
      <c r="U19" s="95"/>
    </row>
    <row r="20" spans="1:21" ht="15" x14ac:dyDescent="0.25">
      <c r="A20" s="99"/>
      <c r="B20" s="99"/>
      <c r="C20" s="270"/>
      <c r="D20" s="271"/>
      <c r="E20" s="261"/>
      <c r="F20" s="272"/>
      <c r="G20" s="275" t="str">
        <f t="shared" si="0"/>
        <v/>
      </c>
      <c r="H20" s="273"/>
      <c r="I20" s="275" t="str">
        <f t="shared" si="1"/>
        <v/>
      </c>
      <c r="J20" s="274" t="s">
        <v>9</v>
      </c>
      <c r="K20" s="260" t="s">
        <v>195</v>
      </c>
      <c r="L20" s="100"/>
      <c r="M20" s="100"/>
      <c r="N20" s="100"/>
      <c r="O20" s="100"/>
      <c r="P20" s="160"/>
      <c r="Q20" s="80"/>
      <c r="R20" s="80"/>
      <c r="S20" s="97"/>
      <c r="T20" s="95"/>
      <c r="U20" s="95"/>
    </row>
    <row r="21" spans="1:21" ht="15" x14ac:dyDescent="0.25">
      <c r="A21" s="99"/>
      <c r="B21" s="99"/>
      <c r="C21" s="270"/>
      <c r="D21" s="271"/>
      <c r="E21" s="261"/>
      <c r="F21" s="272"/>
      <c r="G21" s="275" t="str">
        <f t="shared" si="0"/>
        <v/>
      </c>
      <c r="H21" s="273"/>
      <c r="I21" s="275" t="str">
        <f t="shared" si="1"/>
        <v/>
      </c>
      <c r="J21" s="274" t="s">
        <v>9</v>
      </c>
      <c r="K21" s="260" t="s">
        <v>195</v>
      </c>
      <c r="L21" s="101"/>
      <c r="M21" s="101"/>
      <c r="N21" s="101"/>
      <c r="O21" s="101"/>
      <c r="P21" s="97"/>
      <c r="Q21" s="80"/>
      <c r="R21" s="80"/>
      <c r="S21" s="80"/>
      <c r="U21" s="95"/>
    </row>
    <row r="22" spans="1:21" ht="15" x14ac:dyDescent="0.25">
      <c r="A22" s="99"/>
      <c r="B22" s="99"/>
      <c r="C22" s="270"/>
      <c r="D22" s="271"/>
      <c r="E22" s="261"/>
      <c r="F22" s="272"/>
      <c r="G22" s="275" t="str">
        <f t="shared" si="0"/>
        <v/>
      </c>
      <c r="H22" s="273"/>
      <c r="I22" s="275" t="str">
        <f t="shared" si="1"/>
        <v/>
      </c>
      <c r="J22" s="274" t="s">
        <v>9</v>
      </c>
      <c r="K22" s="260" t="s">
        <v>195</v>
      </c>
      <c r="L22" s="101"/>
      <c r="M22" s="101"/>
      <c r="N22" s="101"/>
      <c r="O22" s="101"/>
      <c r="P22" s="161"/>
      <c r="Q22" s="80"/>
      <c r="R22" s="80"/>
      <c r="S22" s="80"/>
      <c r="U22" s="95"/>
    </row>
    <row r="23" spans="1:21" ht="15" x14ac:dyDescent="0.25">
      <c r="A23" s="99"/>
      <c r="B23" s="99"/>
      <c r="C23" s="270"/>
      <c r="D23" s="271"/>
      <c r="E23" s="261"/>
      <c r="F23" s="272"/>
      <c r="G23" s="275" t="str">
        <f t="shared" si="0"/>
        <v/>
      </c>
      <c r="H23" s="273"/>
      <c r="I23" s="275" t="str">
        <f t="shared" si="1"/>
        <v/>
      </c>
      <c r="J23" s="274" t="s">
        <v>9</v>
      </c>
      <c r="K23" s="260" t="s">
        <v>195</v>
      </c>
      <c r="L23" s="101"/>
      <c r="M23" s="101"/>
      <c r="N23" s="101"/>
      <c r="O23" s="101"/>
      <c r="P23" s="161"/>
      <c r="Q23" s="80"/>
      <c r="R23" s="80"/>
      <c r="S23" s="80"/>
      <c r="U23" s="95"/>
    </row>
    <row r="24" spans="1:21" ht="15" x14ac:dyDescent="0.25">
      <c r="A24" s="99"/>
      <c r="B24" s="99"/>
      <c r="C24" s="270"/>
      <c r="D24" s="271"/>
      <c r="E24" s="261"/>
      <c r="F24" s="272"/>
      <c r="G24" s="275" t="str">
        <f t="shared" si="0"/>
        <v/>
      </c>
      <c r="H24" s="273"/>
      <c r="I24" s="275" t="str">
        <f t="shared" si="1"/>
        <v/>
      </c>
      <c r="J24" s="274" t="s">
        <v>9</v>
      </c>
      <c r="K24" s="260" t="s">
        <v>195</v>
      </c>
      <c r="L24" s="101"/>
      <c r="M24" s="101"/>
      <c r="N24" s="101"/>
      <c r="O24" s="101"/>
      <c r="P24" s="161"/>
      <c r="Q24" s="80"/>
      <c r="R24" s="80"/>
      <c r="S24" s="80"/>
      <c r="U24" s="95"/>
    </row>
    <row r="25" spans="1:21" ht="15" x14ac:dyDescent="0.25">
      <c r="A25" s="99"/>
      <c r="B25" s="99"/>
      <c r="C25" s="270"/>
      <c r="D25" s="271"/>
      <c r="E25" s="261"/>
      <c r="F25" s="272"/>
      <c r="G25" s="275" t="str">
        <f t="shared" si="0"/>
        <v/>
      </c>
      <c r="H25" s="273"/>
      <c r="I25" s="275" t="str">
        <f t="shared" si="1"/>
        <v/>
      </c>
      <c r="J25" s="274" t="s">
        <v>9</v>
      </c>
      <c r="K25" s="260" t="s">
        <v>195</v>
      </c>
      <c r="L25" s="101"/>
      <c r="M25" s="154">
        <f>SUMIFS(H:H,E:E,"Diesel",J:J,"Nein")</f>
        <v>0</v>
      </c>
      <c r="N25" s="154">
        <f>SUMIFS(H:H,E:E,"Diesel",J:J,"Ja")</f>
        <v>0</v>
      </c>
      <c r="O25" s="101"/>
      <c r="P25" s="161"/>
      <c r="Q25" s="80"/>
      <c r="R25" s="80"/>
      <c r="S25" s="80"/>
      <c r="U25" s="95"/>
    </row>
    <row r="26" spans="1:21" ht="15" x14ac:dyDescent="0.25">
      <c r="A26" s="99"/>
      <c r="B26" s="99"/>
      <c r="C26" s="270"/>
      <c r="D26" s="271"/>
      <c r="E26" s="261"/>
      <c r="F26" s="272"/>
      <c r="G26" s="275" t="str">
        <f t="shared" si="0"/>
        <v/>
      </c>
      <c r="H26" s="273"/>
      <c r="I26" s="275" t="str">
        <f t="shared" si="1"/>
        <v/>
      </c>
      <c r="J26" s="274" t="s">
        <v>9</v>
      </c>
      <c r="K26" s="260" t="s">
        <v>195</v>
      </c>
      <c r="L26" s="101"/>
      <c r="M26" s="154">
        <f>SUMIFS(H:H,E:E,"Benzin",J:J,"Nein")</f>
        <v>0</v>
      </c>
      <c r="N26" s="154">
        <f>SUMIFS(H:H,E:E,"Benzin",J:J,"Ja")</f>
        <v>0</v>
      </c>
      <c r="O26" s="101"/>
      <c r="P26" s="97"/>
      <c r="Q26" s="97"/>
      <c r="R26" s="97"/>
      <c r="S26" s="97"/>
      <c r="T26" s="95"/>
      <c r="U26" s="95"/>
    </row>
    <row r="27" spans="1:21" ht="15" x14ac:dyDescent="0.25">
      <c r="A27" s="99"/>
      <c r="B27" s="99"/>
      <c r="C27" s="270"/>
      <c r="D27" s="271"/>
      <c r="E27" s="261"/>
      <c r="F27" s="272"/>
      <c r="G27" s="275" t="str">
        <f t="shared" si="0"/>
        <v/>
      </c>
      <c r="H27" s="273"/>
      <c r="I27" s="275" t="str">
        <f t="shared" si="1"/>
        <v/>
      </c>
      <c r="J27" s="274" t="s">
        <v>9</v>
      </c>
      <c r="K27" s="260" t="s">
        <v>195</v>
      </c>
      <c r="L27" s="101"/>
      <c r="M27" s="154"/>
      <c r="N27" s="154"/>
      <c r="O27" s="101"/>
      <c r="P27" s="97"/>
      <c r="Q27" s="97"/>
      <c r="R27" s="97"/>
      <c r="S27" s="97"/>
      <c r="T27" s="95"/>
      <c r="U27" s="95"/>
    </row>
    <row r="28" spans="1:21" ht="15" x14ac:dyDescent="0.25">
      <c r="A28" s="99"/>
      <c r="B28" s="99"/>
      <c r="C28" s="270"/>
      <c r="D28" s="271"/>
      <c r="E28" s="261"/>
      <c r="F28" s="272"/>
      <c r="G28" s="275" t="str">
        <f t="shared" si="0"/>
        <v/>
      </c>
      <c r="H28" s="273"/>
      <c r="I28" s="275" t="str">
        <f t="shared" si="1"/>
        <v/>
      </c>
      <c r="J28" s="274" t="s">
        <v>9</v>
      </c>
      <c r="K28" s="260" t="s">
        <v>195</v>
      </c>
      <c r="L28" s="101"/>
      <c r="M28" s="154">
        <f>SUMIFS(G:G,E:E,"Diesel",J:J,"Nein")</f>
        <v>0</v>
      </c>
      <c r="N28" s="154">
        <f>SUMIFS(G:G,E:E,"Diesel",J:J,"Ja")</f>
        <v>0</v>
      </c>
      <c r="O28" s="101"/>
      <c r="P28" s="97"/>
      <c r="Q28" s="97"/>
      <c r="R28" s="97"/>
      <c r="S28" s="97"/>
      <c r="T28" s="95"/>
      <c r="U28" s="95"/>
    </row>
    <row r="29" spans="1:21" ht="15" x14ac:dyDescent="0.25">
      <c r="A29" s="99"/>
      <c r="B29" s="99"/>
      <c r="C29" s="270"/>
      <c r="D29" s="271"/>
      <c r="E29" s="261"/>
      <c r="F29" s="272"/>
      <c r="G29" s="275" t="str">
        <f t="shared" si="0"/>
        <v/>
      </c>
      <c r="H29" s="273"/>
      <c r="I29" s="275" t="str">
        <f t="shared" si="1"/>
        <v/>
      </c>
      <c r="J29" s="274" t="s">
        <v>9</v>
      </c>
      <c r="K29" s="260" t="s">
        <v>195</v>
      </c>
      <c r="L29" s="101"/>
      <c r="M29" s="154">
        <f>SUMIFS(G:G,E:E,"Benzin",J:J,"Nein")</f>
        <v>0</v>
      </c>
      <c r="N29" s="154">
        <f>SUMIFS(G:G,E:E,"Benzin",J:J,"Ja")</f>
        <v>0</v>
      </c>
      <c r="O29" s="101"/>
      <c r="P29" s="97"/>
      <c r="Q29" s="97"/>
      <c r="R29" s="97"/>
      <c r="S29" s="97"/>
      <c r="T29" s="95"/>
      <c r="U29" s="95"/>
    </row>
    <row r="30" spans="1:21" ht="15" x14ac:dyDescent="0.25">
      <c r="A30" s="99"/>
      <c r="B30" s="99"/>
      <c r="C30" s="270"/>
      <c r="D30" s="271"/>
      <c r="E30" s="261"/>
      <c r="F30" s="272"/>
      <c r="G30" s="275" t="str">
        <f t="shared" si="0"/>
        <v/>
      </c>
      <c r="H30" s="273"/>
      <c r="I30" s="275" t="str">
        <f t="shared" si="1"/>
        <v/>
      </c>
      <c r="J30" s="274" t="s">
        <v>9</v>
      </c>
      <c r="K30" s="260" t="s">
        <v>195</v>
      </c>
      <c r="L30" s="101"/>
      <c r="M30" s="154"/>
      <c r="N30" s="154"/>
      <c r="O30" s="101"/>
      <c r="P30" s="97"/>
      <c r="Q30" s="97"/>
      <c r="R30" s="97"/>
      <c r="S30" s="97"/>
      <c r="T30" s="95"/>
      <c r="U30" s="95"/>
    </row>
    <row r="31" spans="1:21" ht="15" x14ac:dyDescent="0.25">
      <c r="A31" s="99"/>
      <c r="B31" s="99"/>
      <c r="C31" s="270"/>
      <c r="D31" s="271"/>
      <c r="E31" s="261"/>
      <c r="F31" s="272"/>
      <c r="G31" s="275" t="str">
        <f t="shared" si="0"/>
        <v/>
      </c>
      <c r="H31" s="273"/>
      <c r="I31" s="275" t="str">
        <f t="shared" si="1"/>
        <v/>
      </c>
      <c r="J31" s="274" t="s">
        <v>9</v>
      </c>
      <c r="K31" s="260" t="s">
        <v>195</v>
      </c>
      <c r="L31" s="101"/>
      <c r="M31" s="154">
        <f>SUMIFS(F:F,E:E,"Diesel",J:J,"Nein")</f>
        <v>0</v>
      </c>
      <c r="N31" s="154">
        <f>SUMIFS(G:G,E:E,"Diesel",J:J,"Ja")</f>
        <v>0</v>
      </c>
      <c r="O31" s="101"/>
      <c r="P31" s="97"/>
      <c r="Q31" s="97"/>
      <c r="R31" s="97"/>
      <c r="S31" s="97"/>
      <c r="T31" s="95"/>
      <c r="U31" s="95"/>
    </row>
    <row r="32" spans="1:21" ht="15" x14ac:dyDescent="0.25">
      <c r="A32" s="99"/>
      <c r="B32" s="99"/>
      <c r="C32" s="270"/>
      <c r="D32" s="271"/>
      <c r="E32" s="261"/>
      <c r="F32" s="272"/>
      <c r="G32" s="275" t="str">
        <f t="shared" si="0"/>
        <v/>
      </c>
      <c r="H32" s="273"/>
      <c r="I32" s="275" t="str">
        <f t="shared" si="1"/>
        <v/>
      </c>
      <c r="J32" s="274" t="s">
        <v>9</v>
      </c>
      <c r="K32" s="260" t="s">
        <v>195</v>
      </c>
      <c r="L32" s="101"/>
      <c r="M32" s="154">
        <f>SUMIFS(F:F,E:E,"Benzin",J:J,"Nein")</f>
        <v>0</v>
      </c>
      <c r="N32" s="154">
        <f>SUMIFS(G:G,E:E,"Benzin",J:J,"Ja")</f>
        <v>0</v>
      </c>
      <c r="O32" s="101"/>
      <c r="P32" s="97"/>
      <c r="Q32" s="97"/>
      <c r="R32" s="97"/>
      <c r="S32" s="97"/>
      <c r="T32" s="95"/>
      <c r="U32" s="95"/>
    </row>
    <row r="33" spans="1:21" ht="15" x14ac:dyDescent="0.25">
      <c r="A33" s="99"/>
      <c r="B33" s="99"/>
      <c r="C33" s="270"/>
      <c r="D33" s="271"/>
      <c r="E33" s="261"/>
      <c r="F33" s="272"/>
      <c r="G33" s="275" t="str">
        <f t="shared" si="0"/>
        <v/>
      </c>
      <c r="H33" s="273"/>
      <c r="I33" s="275" t="str">
        <f t="shared" si="1"/>
        <v/>
      </c>
      <c r="J33" s="274" t="s">
        <v>9</v>
      </c>
      <c r="K33" s="260" t="s">
        <v>195</v>
      </c>
      <c r="L33" s="101"/>
      <c r="M33" s="101"/>
      <c r="N33" s="101"/>
      <c r="O33" s="101"/>
      <c r="P33" s="97"/>
      <c r="Q33" s="97"/>
      <c r="R33" s="97"/>
      <c r="S33" s="97"/>
      <c r="T33" s="95"/>
      <c r="U33" s="95"/>
    </row>
    <row r="34" spans="1:21" ht="15" x14ac:dyDescent="0.25">
      <c r="A34" s="99"/>
      <c r="B34" s="99"/>
      <c r="C34" s="270"/>
      <c r="D34" s="271"/>
      <c r="E34" s="261"/>
      <c r="F34" s="272"/>
      <c r="G34" s="275" t="str">
        <f t="shared" si="0"/>
        <v/>
      </c>
      <c r="H34" s="273"/>
      <c r="I34" s="275" t="str">
        <f t="shared" si="1"/>
        <v/>
      </c>
      <c r="J34" s="274" t="s">
        <v>9</v>
      </c>
      <c r="K34" s="260" t="s">
        <v>195</v>
      </c>
      <c r="L34" s="101"/>
      <c r="M34" s="101"/>
      <c r="N34" s="101"/>
      <c r="O34" s="101"/>
      <c r="P34" s="97"/>
      <c r="Q34" s="97"/>
      <c r="R34" s="97"/>
      <c r="S34" s="97"/>
      <c r="T34" s="95"/>
      <c r="U34" s="95"/>
    </row>
    <row r="35" spans="1:21" ht="15" x14ac:dyDescent="0.25">
      <c r="A35" s="99"/>
      <c r="B35" s="99"/>
      <c r="C35" s="270"/>
      <c r="D35" s="271"/>
      <c r="E35" s="261"/>
      <c r="F35" s="272"/>
      <c r="G35" s="275" t="str">
        <f t="shared" si="0"/>
        <v/>
      </c>
      <c r="H35" s="273"/>
      <c r="I35" s="275" t="str">
        <f t="shared" si="1"/>
        <v/>
      </c>
      <c r="J35" s="274" t="s">
        <v>9</v>
      </c>
      <c r="K35" s="260" t="s">
        <v>195</v>
      </c>
      <c r="L35" s="101"/>
      <c r="M35" s="101"/>
      <c r="N35" s="101"/>
      <c r="O35" s="101"/>
      <c r="P35" s="97"/>
      <c r="Q35" s="97"/>
      <c r="R35" s="97"/>
      <c r="S35" s="97"/>
      <c r="T35" s="95"/>
      <c r="U35" s="95"/>
    </row>
    <row r="36" spans="1:21" ht="15" x14ac:dyDescent="0.25">
      <c r="A36" s="99"/>
      <c r="B36" s="99"/>
      <c r="C36" s="270"/>
      <c r="D36" s="271"/>
      <c r="E36" s="261"/>
      <c r="F36" s="272"/>
      <c r="G36" s="275" t="str">
        <f t="shared" si="0"/>
        <v/>
      </c>
      <c r="H36" s="273"/>
      <c r="I36" s="275" t="str">
        <f t="shared" si="1"/>
        <v/>
      </c>
      <c r="J36" s="274" t="s">
        <v>9</v>
      </c>
      <c r="K36" s="260" t="s">
        <v>195</v>
      </c>
      <c r="L36" s="101"/>
      <c r="M36" s="101"/>
      <c r="N36" s="101"/>
      <c r="O36" s="101"/>
      <c r="P36" s="97"/>
      <c r="Q36" s="97"/>
      <c r="R36" s="97"/>
      <c r="S36" s="97"/>
      <c r="T36" s="95"/>
      <c r="U36" s="95"/>
    </row>
    <row r="37" spans="1:21" ht="15" x14ac:dyDescent="0.25">
      <c r="A37" s="99"/>
      <c r="B37" s="99"/>
      <c r="C37" s="270"/>
      <c r="D37" s="271"/>
      <c r="E37" s="261"/>
      <c r="F37" s="272"/>
      <c r="G37" s="275" t="str">
        <f t="shared" si="0"/>
        <v/>
      </c>
      <c r="H37" s="273"/>
      <c r="I37" s="275" t="str">
        <f t="shared" si="1"/>
        <v/>
      </c>
      <c r="J37" s="274" t="s">
        <v>9</v>
      </c>
      <c r="K37" s="260" t="s">
        <v>195</v>
      </c>
      <c r="L37" s="101"/>
      <c r="M37" s="101"/>
      <c r="N37" s="101"/>
      <c r="O37" s="101"/>
      <c r="P37" s="97"/>
      <c r="Q37" s="97"/>
      <c r="R37" s="97"/>
      <c r="S37" s="97"/>
      <c r="T37" s="95"/>
      <c r="U37" s="95"/>
    </row>
    <row r="38" spans="1:21" ht="15" x14ac:dyDescent="0.25">
      <c r="A38" s="99"/>
      <c r="B38" s="99"/>
      <c r="C38" s="270"/>
      <c r="D38" s="271"/>
      <c r="E38" s="261"/>
      <c r="F38" s="272"/>
      <c r="G38" s="275" t="str">
        <f t="shared" si="0"/>
        <v/>
      </c>
      <c r="H38" s="273"/>
      <c r="I38" s="275" t="str">
        <f t="shared" si="1"/>
        <v/>
      </c>
      <c r="J38" s="274" t="s">
        <v>9</v>
      </c>
      <c r="K38" s="260" t="s">
        <v>195</v>
      </c>
      <c r="L38" s="101"/>
      <c r="M38" s="101"/>
      <c r="N38" s="101"/>
      <c r="O38" s="101"/>
      <c r="P38" s="97"/>
      <c r="Q38" s="97"/>
      <c r="R38" s="97"/>
      <c r="S38" s="97"/>
      <c r="T38" s="95"/>
      <c r="U38" s="95"/>
    </row>
    <row r="39" spans="1:21" ht="15" x14ac:dyDescent="0.25">
      <c r="A39" s="99"/>
      <c r="B39" s="99"/>
      <c r="C39" s="270"/>
      <c r="D39" s="271"/>
      <c r="E39" s="261"/>
      <c r="F39" s="272"/>
      <c r="G39" s="275" t="str">
        <f t="shared" si="0"/>
        <v/>
      </c>
      <c r="H39" s="273"/>
      <c r="I39" s="275" t="str">
        <f t="shared" si="1"/>
        <v/>
      </c>
      <c r="J39" s="274" t="s">
        <v>9</v>
      </c>
      <c r="K39" s="260" t="s">
        <v>195</v>
      </c>
      <c r="L39" s="101"/>
      <c r="M39" s="101"/>
      <c r="N39" s="101"/>
      <c r="O39" s="101"/>
      <c r="P39" s="97"/>
      <c r="Q39" s="97"/>
      <c r="R39" s="97"/>
      <c r="S39" s="97"/>
      <c r="T39" s="95"/>
      <c r="U39" s="95"/>
    </row>
    <row r="40" spans="1:21" ht="15" x14ac:dyDescent="0.25">
      <c r="A40" s="155"/>
      <c r="B40" s="155"/>
      <c r="C40" s="270"/>
      <c r="D40" s="271"/>
      <c r="E40" s="261"/>
      <c r="F40" s="272"/>
      <c r="G40" s="275" t="str">
        <f t="shared" si="0"/>
        <v/>
      </c>
      <c r="H40" s="273"/>
      <c r="I40" s="275" t="str">
        <f t="shared" si="1"/>
        <v/>
      </c>
      <c r="J40" s="274" t="s">
        <v>9</v>
      </c>
      <c r="K40" s="260" t="s">
        <v>195</v>
      </c>
      <c r="L40" s="156"/>
      <c r="M40" s="156"/>
      <c r="N40" s="156"/>
      <c r="O40" s="156"/>
      <c r="P40" s="97"/>
      <c r="Q40" s="97"/>
      <c r="R40" s="97"/>
      <c r="S40" s="97"/>
      <c r="T40" s="95"/>
      <c r="U40" s="95"/>
    </row>
    <row r="41" spans="1:21" ht="15" x14ac:dyDescent="0.25">
      <c r="A41" s="99"/>
      <c r="B41" s="99"/>
      <c r="C41" s="270"/>
      <c r="D41" s="271"/>
      <c r="E41" s="261"/>
      <c r="F41" s="272"/>
      <c r="G41" s="275" t="str">
        <f t="shared" si="0"/>
        <v/>
      </c>
      <c r="H41" s="273"/>
      <c r="I41" s="275" t="str">
        <f t="shared" si="1"/>
        <v/>
      </c>
      <c r="J41" s="274" t="s">
        <v>9</v>
      </c>
      <c r="K41" s="260" t="s">
        <v>195</v>
      </c>
      <c r="L41" s="101"/>
      <c r="M41" s="101"/>
      <c r="N41" s="101"/>
      <c r="O41" s="101"/>
      <c r="P41" s="97"/>
      <c r="Q41" s="97"/>
      <c r="R41" s="97"/>
      <c r="S41" s="97"/>
      <c r="T41" s="95"/>
      <c r="U41" s="95"/>
    </row>
    <row r="42" spans="1:21" ht="15" x14ac:dyDescent="0.25">
      <c r="A42" s="99"/>
      <c r="B42" s="99"/>
      <c r="C42" s="270"/>
      <c r="D42" s="271"/>
      <c r="E42" s="261"/>
      <c r="F42" s="272"/>
      <c r="G42" s="275" t="str">
        <f t="shared" si="0"/>
        <v/>
      </c>
      <c r="H42" s="273"/>
      <c r="I42" s="275" t="str">
        <f t="shared" si="1"/>
        <v/>
      </c>
      <c r="J42" s="274" t="s">
        <v>9</v>
      </c>
      <c r="K42" s="260" t="s">
        <v>195</v>
      </c>
      <c r="L42" s="101"/>
      <c r="M42" s="101"/>
      <c r="N42" s="101"/>
      <c r="O42" s="101"/>
      <c r="P42" s="97"/>
      <c r="Q42" s="97"/>
      <c r="R42" s="97"/>
      <c r="S42" s="97"/>
      <c r="T42" s="95"/>
      <c r="U42" s="95"/>
    </row>
    <row r="43" spans="1:21" ht="15" x14ac:dyDescent="0.25">
      <c r="A43" s="155"/>
      <c r="B43" s="155"/>
      <c r="C43" s="270"/>
      <c r="D43" s="271"/>
      <c r="E43" s="261"/>
      <c r="F43" s="272"/>
      <c r="G43" s="275" t="str">
        <f t="shared" si="0"/>
        <v/>
      </c>
      <c r="H43" s="273"/>
      <c r="I43" s="275" t="str">
        <f t="shared" si="1"/>
        <v/>
      </c>
      <c r="J43" s="274" t="s">
        <v>9</v>
      </c>
      <c r="K43" s="260" t="s">
        <v>195</v>
      </c>
      <c r="L43" s="156"/>
      <c r="M43" s="156"/>
      <c r="N43" s="156"/>
      <c r="O43" s="156"/>
      <c r="P43" s="97"/>
      <c r="Q43" s="97"/>
      <c r="R43" s="97"/>
      <c r="S43" s="97"/>
      <c r="T43" s="95"/>
      <c r="U43" s="95"/>
    </row>
    <row r="44" spans="1:21" ht="15" x14ac:dyDescent="0.25">
      <c r="A44" s="155"/>
      <c r="B44" s="155"/>
      <c r="C44" s="270"/>
      <c r="D44" s="271"/>
      <c r="E44" s="261"/>
      <c r="F44" s="272"/>
      <c r="G44" s="275" t="str">
        <f t="shared" si="0"/>
        <v/>
      </c>
      <c r="H44" s="273"/>
      <c r="I44" s="275" t="str">
        <f t="shared" si="1"/>
        <v/>
      </c>
      <c r="J44" s="274" t="s">
        <v>9</v>
      </c>
      <c r="K44" s="260" t="s">
        <v>195</v>
      </c>
      <c r="L44" s="101"/>
      <c r="M44" s="101"/>
      <c r="N44" s="101"/>
      <c r="O44" s="101"/>
      <c r="P44" s="97"/>
      <c r="Q44" s="97"/>
      <c r="R44" s="97"/>
      <c r="S44" s="97"/>
      <c r="T44" s="95"/>
      <c r="U44" s="95"/>
    </row>
    <row r="45" spans="1:21" ht="15" x14ac:dyDescent="0.25">
      <c r="A45" s="155"/>
      <c r="B45" s="155"/>
      <c r="C45" s="270"/>
      <c r="D45" s="271"/>
      <c r="E45" s="261"/>
      <c r="F45" s="272"/>
      <c r="G45" s="275" t="str">
        <f t="shared" ref="G45:G76" si="2">IF(F45/par_TS_brutto&lt;&gt;0,ROUND(F45/par_TS_brutto,4),"")</f>
        <v/>
      </c>
      <c r="H45" s="273"/>
      <c r="I45" s="275" t="str">
        <f t="shared" si="1"/>
        <v/>
      </c>
      <c r="J45" s="274" t="s">
        <v>9</v>
      </c>
      <c r="K45" s="260" t="s">
        <v>195</v>
      </c>
      <c r="L45" s="101"/>
      <c r="M45" s="101"/>
      <c r="N45" s="101"/>
      <c r="O45" s="101"/>
      <c r="P45" s="97"/>
      <c r="Q45" s="97"/>
      <c r="R45" s="97"/>
      <c r="S45" s="97"/>
      <c r="T45" s="95"/>
      <c r="U45" s="95"/>
    </row>
    <row r="46" spans="1:21" ht="15" x14ac:dyDescent="0.25">
      <c r="A46" s="155"/>
      <c r="B46" s="155"/>
      <c r="C46" s="270"/>
      <c r="D46" s="271"/>
      <c r="E46" s="261"/>
      <c r="F46" s="272"/>
      <c r="G46" s="275" t="str">
        <f t="shared" si="2"/>
        <v/>
      </c>
      <c r="H46" s="273"/>
      <c r="I46" s="275" t="str">
        <f t="shared" si="1"/>
        <v/>
      </c>
      <c r="J46" s="274" t="s">
        <v>9</v>
      </c>
      <c r="K46" s="260" t="s">
        <v>195</v>
      </c>
      <c r="L46" s="156"/>
      <c r="M46" s="156"/>
      <c r="N46" s="156"/>
      <c r="O46" s="156"/>
      <c r="P46" s="97"/>
      <c r="Q46" s="97"/>
      <c r="R46" s="97"/>
      <c r="S46" s="97"/>
      <c r="T46" s="95"/>
      <c r="U46" s="95"/>
    </row>
    <row r="47" spans="1:21" ht="15" x14ac:dyDescent="0.25">
      <c r="A47" s="155"/>
      <c r="B47" s="155"/>
      <c r="C47" s="270"/>
      <c r="D47" s="271"/>
      <c r="E47" s="261"/>
      <c r="F47" s="272"/>
      <c r="G47" s="275" t="str">
        <f t="shared" si="2"/>
        <v/>
      </c>
      <c r="H47" s="273"/>
      <c r="I47" s="275" t="str">
        <f t="shared" si="1"/>
        <v/>
      </c>
      <c r="J47" s="274" t="s">
        <v>9</v>
      </c>
      <c r="K47" s="260" t="s">
        <v>195</v>
      </c>
      <c r="L47" s="101"/>
      <c r="M47" s="101"/>
      <c r="N47" s="101"/>
      <c r="O47" s="101"/>
      <c r="P47" s="97"/>
      <c r="Q47" s="97"/>
      <c r="R47" s="97"/>
      <c r="S47" s="97"/>
      <c r="T47" s="95"/>
      <c r="U47" s="95"/>
    </row>
    <row r="48" spans="1:21" ht="15" x14ac:dyDescent="0.25">
      <c r="A48" s="155"/>
      <c r="B48" s="155"/>
      <c r="C48" s="270"/>
      <c r="D48" s="271"/>
      <c r="E48" s="261"/>
      <c r="F48" s="272"/>
      <c r="G48" s="275" t="str">
        <f t="shared" si="2"/>
        <v/>
      </c>
      <c r="H48" s="273"/>
      <c r="I48" s="275" t="str">
        <f t="shared" si="1"/>
        <v/>
      </c>
      <c r="J48" s="274" t="s">
        <v>9</v>
      </c>
      <c r="K48" s="260" t="s">
        <v>195</v>
      </c>
      <c r="L48" s="101"/>
      <c r="M48" s="101"/>
      <c r="N48" s="101"/>
      <c r="O48" s="101"/>
      <c r="P48" s="97"/>
      <c r="Q48" s="97"/>
      <c r="R48" s="97"/>
      <c r="S48" s="97"/>
      <c r="T48" s="95"/>
      <c r="U48" s="95"/>
    </row>
    <row r="49" spans="1:21" ht="15" x14ac:dyDescent="0.25">
      <c r="A49" s="155"/>
      <c r="B49" s="155"/>
      <c r="C49" s="270"/>
      <c r="D49" s="271"/>
      <c r="E49" s="261"/>
      <c r="F49" s="272"/>
      <c r="G49" s="275" t="str">
        <f t="shared" si="2"/>
        <v/>
      </c>
      <c r="H49" s="273"/>
      <c r="I49" s="275" t="str">
        <f t="shared" si="1"/>
        <v/>
      </c>
      <c r="J49" s="274" t="s">
        <v>9</v>
      </c>
      <c r="K49" s="260" t="s">
        <v>195</v>
      </c>
      <c r="L49" s="156"/>
      <c r="M49" s="156"/>
      <c r="N49" s="156"/>
      <c r="O49" s="156"/>
      <c r="P49" s="97"/>
      <c r="Q49" s="97"/>
      <c r="R49" s="97"/>
      <c r="S49" s="97"/>
      <c r="T49" s="95"/>
      <c r="U49" s="95"/>
    </row>
    <row r="50" spans="1:21" ht="15" x14ac:dyDescent="0.25">
      <c r="A50" s="155"/>
      <c r="B50" s="155"/>
      <c r="C50" s="270"/>
      <c r="D50" s="271"/>
      <c r="E50" s="261"/>
      <c r="F50" s="272"/>
      <c r="G50" s="275" t="str">
        <f t="shared" si="2"/>
        <v/>
      </c>
      <c r="H50" s="273"/>
      <c r="I50" s="275" t="str">
        <f t="shared" si="1"/>
        <v/>
      </c>
      <c r="J50" s="274" t="s">
        <v>9</v>
      </c>
      <c r="K50" s="260" t="s">
        <v>195</v>
      </c>
      <c r="L50" s="101"/>
      <c r="M50" s="101"/>
      <c r="N50" s="101"/>
      <c r="O50" s="101"/>
      <c r="P50" s="97"/>
      <c r="Q50" s="97"/>
      <c r="R50" s="97"/>
      <c r="S50" s="97"/>
      <c r="T50" s="95"/>
      <c r="U50" s="95"/>
    </row>
    <row r="51" spans="1:21" ht="15" x14ac:dyDescent="0.25">
      <c r="A51" s="155"/>
      <c r="B51" s="155"/>
      <c r="C51" s="270"/>
      <c r="D51" s="271"/>
      <c r="E51" s="261"/>
      <c r="F51" s="272"/>
      <c r="G51" s="275" t="str">
        <f t="shared" si="2"/>
        <v/>
      </c>
      <c r="H51" s="273"/>
      <c r="I51" s="275" t="str">
        <f t="shared" si="1"/>
        <v/>
      </c>
      <c r="J51" s="274" t="s">
        <v>9</v>
      </c>
      <c r="K51" s="260" t="s">
        <v>195</v>
      </c>
      <c r="L51" s="101"/>
      <c r="M51" s="101"/>
      <c r="N51" s="101"/>
      <c r="O51" s="101"/>
      <c r="P51" s="97"/>
      <c r="Q51" s="97"/>
      <c r="R51" s="97"/>
      <c r="S51" s="97"/>
      <c r="T51" s="95"/>
      <c r="U51" s="95"/>
    </row>
    <row r="52" spans="1:21" ht="15" x14ac:dyDescent="0.25">
      <c r="A52" s="155"/>
      <c r="B52" s="155"/>
      <c r="C52" s="270"/>
      <c r="D52" s="271"/>
      <c r="E52" s="261"/>
      <c r="F52" s="272"/>
      <c r="G52" s="275" t="str">
        <f t="shared" si="2"/>
        <v/>
      </c>
      <c r="H52" s="273"/>
      <c r="I52" s="275" t="str">
        <f t="shared" si="1"/>
        <v/>
      </c>
      <c r="J52" s="274" t="s">
        <v>9</v>
      </c>
      <c r="K52" s="260" t="s">
        <v>195</v>
      </c>
      <c r="L52" s="156"/>
      <c r="M52" s="156"/>
      <c r="N52" s="156"/>
      <c r="O52" s="156"/>
      <c r="P52" s="97"/>
      <c r="Q52" s="97"/>
      <c r="R52" s="97"/>
      <c r="S52" s="97"/>
      <c r="T52" s="95"/>
      <c r="U52" s="95"/>
    </row>
    <row r="53" spans="1:21" ht="15" x14ac:dyDescent="0.25">
      <c r="A53" s="155"/>
      <c r="B53" s="155"/>
      <c r="C53" s="270"/>
      <c r="D53" s="271"/>
      <c r="E53" s="261"/>
      <c r="F53" s="272"/>
      <c r="G53" s="275" t="str">
        <f t="shared" si="2"/>
        <v/>
      </c>
      <c r="H53" s="273"/>
      <c r="I53" s="275" t="str">
        <f t="shared" si="1"/>
        <v/>
      </c>
      <c r="J53" s="274" t="s">
        <v>9</v>
      </c>
      <c r="K53" s="260" t="s">
        <v>195</v>
      </c>
      <c r="L53" s="101"/>
      <c r="M53" s="101"/>
      <c r="N53" s="101"/>
      <c r="O53" s="101"/>
      <c r="P53" s="97"/>
      <c r="Q53" s="97"/>
      <c r="R53" s="97"/>
      <c r="S53" s="97"/>
      <c r="T53" s="95"/>
      <c r="U53" s="95"/>
    </row>
    <row r="54" spans="1:21" ht="15" x14ac:dyDescent="0.25">
      <c r="A54" s="155"/>
      <c r="B54" s="155"/>
      <c r="C54" s="270"/>
      <c r="D54" s="271"/>
      <c r="E54" s="261"/>
      <c r="F54" s="272"/>
      <c r="G54" s="275" t="str">
        <f t="shared" si="2"/>
        <v/>
      </c>
      <c r="H54" s="273"/>
      <c r="I54" s="275" t="str">
        <f t="shared" si="1"/>
        <v/>
      </c>
      <c r="J54" s="274" t="s">
        <v>9</v>
      </c>
      <c r="K54" s="260" t="s">
        <v>195</v>
      </c>
      <c r="L54" s="101"/>
      <c r="M54" s="101"/>
      <c r="N54" s="101"/>
      <c r="O54" s="101"/>
      <c r="P54" s="97"/>
      <c r="Q54" s="97"/>
      <c r="R54" s="97"/>
      <c r="S54" s="97"/>
      <c r="T54" s="95"/>
      <c r="U54" s="95"/>
    </row>
    <row r="55" spans="1:21" ht="15" x14ac:dyDescent="0.25">
      <c r="A55" s="155"/>
      <c r="B55" s="155"/>
      <c r="C55" s="270"/>
      <c r="D55" s="271"/>
      <c r="E55" s="261"/>
      <c r="F55" s="272"/>
      <c r="G55" s="275" t="str">
        <f t="shared" si="2"/>
        <v/>
      </c>
      <c r="H55" s="273"/>
      <c r="I55" s="275" t="str">
        <f t="shared" si="1"/>
        <v/>
      </c>
      <c r="J55" s="274" t="s">
        <v>9</v>
      </c>
      <c r="K55" s="260" t="s">
        <v>195</v>
      </c>
      <c r="L55" s="156"/>
      <c r="M55" s="156"/>
      <c r="N55" s="156"/>
      <c r="O55" s="156"/>
      <c r="P55" s="97"/>
      <c r="Q55" s="97"/>
      <c r="R55" s="97"/>
      <c r="S55" s="97"/>
      <c r="T55" s="95"/>
      <c r="U55" s="95"/>
    </row>
    <row r="56" spans="1:21" ht="15" x14ac:dyDescent="0.25">
      <c r="A56" s="155"/>
      <c r="B56" s="155"/>
      <c r="C56" s="270"/>
      <c r="D56" s="271"/>
      <c r="E56" s="261"/>
      <c r="F56" s="272"/>
      <c r="G56" s="275" t="str">
        <f t="shared" si="2"/>
        <v/>
      </c>
      <c r="H56" s="273"/>
      <c r="I56" s="275" t="str">
        <f t="shared" si="1"/>
        <v/>
      </c>
      <c r="J56" s="274" t="s">
        <v>9</v>
      </c>
      <c r="K56" s="260" t="s">
        <v>195</v>
      </c>
      <c r="L56" s="101"/>
      <c r="M56" s="101"/>
      <c r="N56" s="101"/>
      <c r="O56" s="101"/>
      <c r="P56" s="97"/>
      <c r="Q56" s="97"/>
      <c r="R56" s="97"/>
      <c r="S56" s="97"/>
      <c r="T56" s="95"/>
      <c r="U56" s="95"/>
    </row>
    <row r="57" spans="1:21" ht="15" x14ac:dyDescent="0.25">
      <c r="A57" s="155"/>
      <c r="B57" s="155"/>
      <c r="C57" s="270"/>
      <c r="D57" s="271"/>
      <c r="E57" s="261"/>
      <c r="F57" s="272"/>
      <c r="G57" s="275" t="str">
        <f t="shared" si="2"/>
        <v/>
      </c>
      <c r="H57" s="273"/>
      <c r="I57" s="275" t="str">
        <f t="shared" si="1"/>
        <v/>
      </c>
      <c r="J57" s="274" t="s">
        <v>9</v>
      </c>
      <c r="K57" s="260" t="s">
        <v>195</v>
      </c>
      <c r="L57" s="101"/>
      <c r="M57" s="101"/>
      <c r="N57" s="101"/>
      <c r="O57" s="101"/>
      <c r="P57" s="97"/>
      <c r="Q57" s="97"/>
      <c r="R57" s="97"/>
      <c r="S57" s="97"/>
      <c r="T57" s="95"/>
      <c r="U57" s="95"/>
    </row>
    <row r="58" spans="1:21" ht="15" x14ac:dyDescent="0.25">
      <c r="A58" s="155"/>
      <c r="B58" s="155"/>
      <c r="C58" s="270"/>
      <c r="D58" s="271"/>
      <c r="E58" s="261"/>
      <c r="F58" s="272"/>
      <c r="G58" s="275" t="str">
        <f t="shared" si="2"/>
        <v/>
      </c>
      <c r="H58" s="273"/>
      <c r="I58" s="275" t="str">
        <f t="shared" si="1"/>
        <v/>
      </c>
      <c r="J58" s="274" t="s">
        <v>9</v>
      </c>
      <c r="K58" s="260" t="s">
        <v>195</v>
      </c>
      <c r="L58" s="156"/>
      <c r="M58" s="156"/>
      <c r="N58" s="156"/>
      <c r="O58" s="156"/>
      <c r="P58" s="97"/>
      <c r="Q58" s="97"/>
      <c r="R58" s="97"/>
      <c r="S58" s="97"/>
      <c r="T58" s="95"/>
      <c r="U58" s="95"/>
    </row>
    <row r="59" spans="1:21" ht="15" x14ac:dyDescent="0.25">
      <c r="A59" s="155"/>
      <c r="B59" s="155"/>
      <c r="C59" s="270"/>
      <c r="D59" s="271"/>
      <c r="E59" s="261"/>
      <c r="F59" s="272"/>
      <c r="G59" s="275" t="str">
        <f t="shared" si="2"/>
        <v/>
      </c>
      <c r="H59" s="273"/>
      <c r="I59" s="275" t="str">
        <f t="shared" si="1"/>
        <v/>
      </c>
      <c r="J59" s="274" t="s">
        <v>9</v>
      </c>
      <c r="K59" s="260" t="s">
        <v>195</v>
      </c>
      <c r="L59" s="101"/>
      <c r="M59" s="101"/>
      <c r="N59" s="101"/>
      <c r="O59" s="101"/>
      <c r="P59" s="97"/>
      <c r="Q59" s="97"/>
      <c r="R59" s="97"/>
      <c r="S59" s="97"/>
      <c r="T59" s="95"/>
      <c r="U59" s="95"/>
    </row>
    <row r="60" spans="1:21" ht="15" x14ac:dyDescent="0.25">
      <c r="A60" s="155"/>
      <c r="B60" s="155"/>
      <c r="C60" s="270"/>
      <c r="D60" s="271"/>
      <c r="E60" s="261"/>
      <c r="F60" s="272"/>
      <c r="G60" s="275" t="str">
        <f t="shared" si="2"/>
        <v/>
      </c>
      <c r="H60" s="273"/>
      <c r="I60" s="275" t="str">
        <f t="shared" si="1"/>
        <v/>
      </c>
      <c r="J60" s="274" t="s">
        <v>9</v>
      </c>
      <c r="K60" s="260" t="s">
        <v>195</v>
      </c>
      <c r="L60" s="101"/>
      <c r="M60" s="101"/>
      <c r="N60" s="101"/>
      <c r="O60" s="101"/>
      <c r="P60" s="97"/>
      <c r="Q60" s="97"/>
      <c r="R60" s="97"/>
      <c r="S60" s="97"/>
      <c r="T60" s="95"/>
      <c r="U60" s="95"/>
    </row>
    <row r="61" spans="1:21" ht="15" x14ac:dyDescent="0.25">
      <c r="A61" s="155"/>
      <c r="B61" s="155"/>
      <c r="C61" s="270"/>
      <c r="D61" s="271"/>
      <c r="E61" s="261"/>
      <c r="F61" s="272"/>
      <c r="G61" s="275" t="str">
        <f t="shared" si="2"/>
        <v/>
      </c>
      <c r="H61" s="273"/>
      <c r="I61" s="275" t="str">
        <f t="shared" si="1"/>
        <v/>
      </c>
      <c r="J61" s="274" t="s">
        <v>9</v>
      </c>
      <c r="K61" s="260" t="s">
        <v>195</v>
      </c>
      <c r="L61" s="156"/>
      <c r="M61" s="156"/>
      <c r="N61" s="156"/>
      <c r="O61" s="156"/>
      <c r="P61" s="97"/>
      <c r="Q61" s="97"/>
      <c r="R61" s="97"/>
      <c r="S61" s="97"/>
      <c r="T61" s="95"/>
      <c r="U61" s="95"/>
    </row>
    <row r="62" spans="1:21" ht="15" x14ac:dyDescent="0.25">
      <c r="A62" s="155"/>
      <c r="B62" s="155"/>
      <c r="C62" s="270"/>
      <c r="D62" s="271"/>
      <c r="E62" s="261"/>
      <c r="F62" s="272"/>
      <c r="G62" s="275" t="str">
        <f t="shared" si="2"/>
        <v/>
      </c>
      <c r="H62" s="273"/>
      <c r="I62" s="275" t="str">
        <f t="shared" si="1"/>
        <v/>
      </c>
      <c r="J62" s="274" t="s">
        <v>9</v>
      </c>
      <c r="K62" s="260" t="s">
        <v>195</v>
      </c>
      <c r="L62" s="101"/>
      <c r="M62" s="101"/>
      <c r="N62" s="101"/>
      <c r="O62" s="101"/>
      <c r="P62" s="97"/>
      <c r="Q62" s="97"/>
      <c r="R62" s="97"/>
      <c r="S62" s="97"/>
      <c r="T62" s="95"/>
      <c r="U62" s="95"/>
    </row>
    <row r="63" spans="1:21" ht="15" x14ac:dyDescent="0.25">
      <c r="A63" s="155"/>
      <c r="B63" s="155"/>
      <c r="C63" s="270"/>
      <c r="D63" s="271"/>
      <c r="E63" s="261"/>
      <c r="F63" s="272"/>
      <c r="G63" s="275" t="str">
        <f t="shared" si="2"/>
        <v/>
      </c>
      <c r="H63" s="273"/>
      <c r="I63" s="275" t="str">
        <f t="shared" si="1"/>
        <v/>
      </c>
      <c r="J63" s="274" t="s">
        <v>9</v>
      </c>
      <c r="K63" s="260" t="s">
        <v>195</v>
      </c>
      <c r="L63" s="101"/>
      <c r="M63" s="101"/>
      <c r="N63" s="101"/>
      <c r="O63" s="101"/>
      <c r="P63" s="97"/>
      <c r="Q63" s="97"/>
      <c r="R63" s="97"/>
      <c r="S63" s="97"/>
      <c r="T63" s="95"/>
      <c r="U63" s="95"/>
    </row>
    <row r="64" spans="1:21" ht="15" x14ac:dyDescent="0.25">
      <c r="A64" s="155"/>
      <c r="B64" s="155"/>
      <c r="C64" s="270"/>
      <c r="D64" s="271"/>
      <c r="E64" s="261"/>
      <c r="F64" s="272"/>
      <c r="G64" s="275" t="str">
        <f t="shared" si="2"/>
        <v/>
      </c>
      <c r="H64" s="273"/>
      <c r="I64" s="275" t="str">
        <f t="shared" si="1"/>
        <v/>
      </c>
      <c r="J64" s="274" t="s">
        <v>9</v>
      </c>
      <c r="K64" s="260" t="s">
        <v>195</v>
      </c>
      <c r="L64" s="156"/>
      <c r="M64" s="156"/>
      <c r="N64" s="156"/>
      <c r="O64" s="156"/>
      <c r="P64" s="97"/>
      <c r="Q64" s="97"/>
      <c r="R64" s="97"/>
      <c r="S64" s="97"/>
      <c r="T64" s="95"/>
      <c r="U64" s="95"/>
    </row>
    <row r="65" spans="1:21" ht="15" x14ac:dyDescent="0.25">
      <c r="A65" s="155"/>
      <c r="B65" s="155"/>
      <c r="C65" s="270"/>
      <c r="D65" s="271"/>
      <c r="E65" s="261"/>
      <c r="F65" s="272"/>
      <c r="G65" s="275" t="str">
        <f t="shared" si="2"/>
        <v/>
      </c>
      <c r="H65" s="273"/>
      <c r="I65" s="275" t="str">
        <f t="shared" si="1"/>
        <v/>
      </c>
      <c r="J65" s="274" t="s">
        <v>9</v>
      </c>
      <c r="K65" s="260" t="s">
        <v>195</v>
      </c>
      <c r="L65" s="101"/>
      <c r="M65" s="101"/>
      <c r="N65" s="101"/>
      <c r="O65" s="101"/>
      <c r="P65" s="97"/>
      <c r="Q65" s="97"/>
      <c r="R65" s="97"/>
      <c r="S65" s="97"/>
      <c r="T65" s="95"/>
      <c r="U65" s="95"/>
    </row>
    <row r="66" spans="1:21" ht="15" x14ac:dyDescent="0.25">
      <c r="A66" s="155"/>
      <c r="B66" s="155"/>
      <c r="C66" s="270"/>
      <c r="D66" s="271"/>
      <c r="E66" s="261"/>
      <c r="F66" s="272"/>
      <c r="G66" s="275" t="str">
        <f t="shared" si="2"/>
        <v/>
      </c>
      <c r="H66" s="273"/>
      <c r="I66" s="275" t="str">
        <f t="shared" si="1"/>
        <v/>
      </c>
      <c r="J66" s="274" t="s">
        <v>9</v>
      </c>
      <c r="K66" s="260" t="s">
        <v>195</v>
      </c>
      <c r="L66" s="101"/>
      <c r="M66" s="101"/>
      <c r="N66" s="101"/>
      <c r="O66" s="101"/>
      <c r="P66" s="97"/>
      <c r="Q66" s="97"/>
      <c r="R66" s="97"/>
      <c r="S66" s="97"/>
      <c r="T66" s="95"/>
      <c r="U66" s="95"/>
    </row>
    <row r="67" spans="1:21" ht="15" x14ac:dyDescent="0.25">
      <c r="A67" s="155"/>
      <c r="B67" s="155"/>
      <c r="C67" s="270"/>
      <c r="D67" s="271"/>
      <c r="E67" s="261"/>
      <c r="F67" s="272"/>
      <c r="G67" s="275" t="str">
        <f t="shared" si="2"/>
        <v/>
      </c>
      <c r="H67" s="273"/>
      <c r="I67" s="275" t="str">
        <f t="shared" si="1"/>
        <v/>
      </c>
      <c r="J67" s="274" t="s">
        <v>9</v>
      </c>
      <c r="K67" s="260" t="s">
        <v>195</v>
      </c>
      <c r="L67" s="156"/>
      <c r="M67" s="156"/>
      <c r="N67" s="156"/>
      <c r="O67" s="156"/>
      <c r="P67" s="97"/>
      <c r="Q67" s="97"/>
      <c r="R67" s="97"/>
      <c r="S67" s="97"/>
      <c r="T67" s="95"/>
      <c r="U67" s="95"/>
    </row>
    <row r="68" spans="1:21" ht="15" x14ac:dyDescent="0.25">
      <c r="A68" s="155"/>
      <c r="B68" s="155"/>
      <c r="C68" s="270"/>
      <c r="D68" s="271"/>
      <c r="E68" s="261"/>
      <c r="F68" s="272"/>
      <c r="G68" s="275" t="str">
        <f t="shared" si="2"/>
        <v/>
      </c>
      <c r="H68" s="273"/>
      <c r="I68" s="275" t="str">
        <f t="shared" si="1"/>
        <v/>
      </c>
      <c r="J68" s="274" t="s">
        <v>9</v>
      </c>
      <c r="K68" s="260" t="s">
        <v>195</v>
      </c>
      <c r="L68" s="101"/>
      <c r="M68" s="101"/>
      <c r="N68" s="101"/>
      <c r="O68" s="101"/>
      <c r="P68" s="97"/>
      <c r="Q68" s="97"/>
      <c r="R68" s="97"/>
      <c r="S68" s="97"/>
      <c r="T68" s="95"/>
      <c r="U68" s="95"/>
    </row>
    <row r="69" spans="1:21" ht="15" x14ac:dyDescent="0.25">
      <c r="A69" s="155"/>
      <c r="B69" s="155"/>
      <c r="C69" s="270"/>
      <c r="D69" s="271"/>
      <c r="E69" s="261"/>
      <c r="F69" s="272"/>
      <c r="G69" s="275" t="str">
        <f t="shared" si="2"/>
        <v/>
      </c>
      <c r="H69" s="273"/>
      <c r="I69" s="275" t="str">
        <f t="shared" si="1"/>
        <v/>
      </c>
      <c r="J69" s="274" t="s">
        <v>9</v>
      </c>
      <c r="K69" s="260" t="s">
        <v>195</v>
      </c>
      <c r="L69" s="101"/>
      <c r="M69" s="101"/>
      <c r="N69" s="101"/>
      <c r="O69" s="101"/>
      <c r="P69" s="97"/>
      <c r="Q69" s="97"/>
      <c r="R69" s="97"/>
      <c r="S69" s="97"/>
      <c r="T69" s="95"/>
      <c r="U69" s="95"/>
    </row>
    <row r="70" spans="1:21" ht="15" x14ac:dyDescent="0.25">
      <c r="A70" s="155"/>
      <c r="B70" s="155"/>
      <c r="C70" s="270"/>
      <c r="D70" s="271"/>
      <c r="E70" s="261"/>
      <c r="F70" s="272"/>
      <c r="G70" s="275" t="str">
        <f t="shared" si="2"/>
        <v/>
      </c>
      <c r="H70" s="273"/>
      <c r="I70" s="275" t="str">
        <f t="shared" si="1"/>
        <v/>
      </c>
      <c r="J70" s="274" t="s">
        <v>9</v>
      </c>
      <c r="K70" s="260" t="s">
        <v>195</v>
      </c>
      <c r="L70" s="156"/>
      <c r="M70" s="156"/>
      <c r="N70" s="156"/>
      <c r="O70" s="156"/>
      <c r="P70" s="97"/>
      <c r="Q70" s="97"/>
      <c r="R70" s="97"/>
      <c r="S70" s="97"/>
      <c r="T70" s="95"/>
      <c r="U70" s="95"/>
    </row>
    <row r="71" spans="1:21" ht="15" x14ac:dyDescent="0.25">
      <c r="A71" s="155"/>
      <c r="B71" s="155"/>
      <c r="C71" s="270"/>
      <c r="D71" s="271"/>
      <c r="E71" s="261"/>
      <c r="F71" s="272"/>
      <c r="G71" s="275" t="str">
        <f t="shared" si="2"/>
        <v/>
      </c>
      <c r="H71" s="273"/>
      <c r="I71" s="275" t="str">
        <f t="shared" si="1"/>
        <v/>
      </c>
      <c r="J71" s="274" t="s">
        <v>9</v>
      </c>
      <c r="K71" s="260" t="s">
        <v>195</v>
      </c>
      <c r="L71" s="101"/>
      <c r="M71" s="101"/>
      <c r="N71" s="101"/>
      <c r="O71" s="101"/>
      <c r="P71" s="97"/>
      <c r="Q71" s="97"/>
      <c r="R71" s="97"/>
      <c r="S71" s="97"/>
      <c r="T71" s="95"/>
      <c r="U71" s="95"/>
    </row>
    <row r="72" spans="1:21" ht="15" x14ac:dyDescent="0.25">
      <c r="A72" s="155"/>
      <c r="B72" s="155"/>
      <c r="C72" s="270"/>
      <c r="D72" s="271"/>
      <c r="E72" s="261"/>
      <c r="F72" s="272"/>
      <c r="G72" s="275" t="str">
        <f t="shared" si="2"/>
        <v/>
      </c>
      <c r="H72" s="273"/>
      <c r="I72" s="275" t="str">
        <f t="shared" si="1"/>
        <v/>
      </c>
      <c r="J72" s="274" t="s">
        <v>9</v>
      </c>
      <c r="K72" s="260" t="s">
        <v>195</v>
      </c>
      <c r="L72" s="101"/>
      <c r="M72" s="101"/>
      <c r="N72" s="101"/>
      <c r="O72" s="101"/>
      <c r="P72" s="97"/>
      <c r="Q72" s="97"/>
      <c r="R72" s="97"/>
      <c r="S72" s="97"/>
      <c r="T72" s="95"/>
      <c r="U72" s="95"/>
    </row>
    <row r="73" spans="1:21" ht="15" x14ac:dyDescent="0.25">
      <c r="A73" s="155"/>
      <c r="B73" s="155"/>
      <c r="C73" s="270"/>
      <c r="D73" s="271"/>
      <c r="E73" s="261"/>
      <c r="F73" s="272"/>
      <c r="G73" s="275" t="str">
        <f t="shared" si="2"/>
        <v/>
      </c>
      <c r="H73" s="273"/>
      <c r="I73" s="275" t="str">
        <f t="shared" si="1"/>
        <v/>
      </c>
      <c r="J73" s="274" t="s">
        <v>9</v>
      </c>
      <c r="K73" s="260" t="s">
        <v>195</v>
      </c>
      <c r="L73" s="156"/>
      <c r="M73" s="156"/>
      <c r="N73" s="156"/>
      <c r="O73" s="156"/>
      <c r="P73" s="97"/>
      <c r="Q73" s="97"/>
      <c r="R73" s="97"/>
      <c r="S73" s="97"/>
      <c r="T73" s="95"/>
      <c r="U73" s="95"/>
    </row>
    <row r="74" spans="1:21" ht="15" x14ac:dyDescent="0.25">
      <c r="A74" s="155"/>
      <c r="B74" s="155"/>
      <c r="C74" s="270"/>
      <c r="D74" s="271"/>
      <c r="E74" s="261"/>
      <c r="F74" s="272"/>
      <c r="G74" s="275" t="str">
        <f t="shared" si="2"/>
        <v/>
      </c>
      <c r="H74" s="273"/>
      <c r="I74" s="275" t="str">
        <f t="shared" si="1"/>
        <v/>
      </c>
      <c r="J74" s="274" t="s">
        <v>9</v>
      </c>
      <c r="K74" s="260" t="s">
        <v>195</v>
      </c>
      <c r="L74" s="101"/>
      <c r="M74" s="101"/>
      <c r="N74" s="101"/>
      <c r="O74" s="101"/>
      <c r="P74" s="97"/>
      <c r="Q74" s="97"/>
      <c r="R74" s="97"/>
      <c r="S74" s="97"/>
      <c r="T74" s="95"/>
      <c r="U74" s="95"/>
    </row>
    <row r="75" spans="1:21" ht="15" x14ac:dyDescent="0.25">
      <c r="A75" s="155"/>
      <c r="B75" s="155"/>
      <c r="C75" s="270"/>
      <c r="D75" s="271"/>
      <c r="E75" s="261"/>
      <c r="F75" s="272"/>
      <c r="G75" s="275" t="str">
        <f t="shared" si="2"/>
        <v/>
      </c>
      <c r="H75" s="273"/>
      <c r="I75" s="275" t="str">
        <f t="shared" si="1"/>
        <v/>
      </c>
      <c r="J75" s="274" t="s">
        <v>9</v>
      </c>
      <c r="K75" s="260" t="s">
        <v>195</v>
      </c>
      <c r="L75" s="101"/>
      <c r="M75" s="101"/>
      <c r="N75" s="101"/>
      <c r="O75" s="101"/>
      <c r="P75" s="97"/>
      <c r="Q75" s="97"/>
      <c r="R75" s="97"/>
      <c r="S75" s="97"/>
      <c r="T75" s="95"/>
      <c r="U75" s="95"/>
    </row>
    <row r="76" spans="1:21" ht="15" x14ac:dyDescent="0.25">
      <c r="A76" s="155"/>
      <c r="B76" s="155"/>
      <c r="C76" s="270"/>
      <c r="D76" s="271"/>
      <c r="E76" s="261"/>
      <c r="F76" s="272"/>
      <c r="G76" s="275" t="str">
        <f t="shared" si="2"/>
        <v/>
      </c>
      <c r="H76" s="273"/>
      <c r="I76" s="275" t="str">
        <f t="shared" si="1"/>
        <v/>
      </c>
      <c r="J76" s="274" t="s">
        <v>9</v>
      </c>
      <c r="K76" s="260" t="s">
        <v>195</v>
      </c>
      <c r="L76" s="156"/>
      <c r="M76" s="156"/>
      <c r="N76" s="156"/>
      <c r="O76" s="156"/>
      <c r="P76" s="97"/>
      <c r="Q76" s="97"/>
      <c r="R76" s="97"/>
      <c r="S76" s="97"/>
      <c r="T76" s="95"/>
      <c r="U76" s="95"/>
    </row>
    <row r="77" spans="1:21" ht="15" x14ac:dyDescent="0.25">
      <c r="A77" s="155"/>
      <c r="B77" s="155"/>
      <c r="C77" s="270"/>
      <c r="D77" s="271"/>
      <c r="E77" s="261"/>
      <c r="F77" s="272"/>
      <c r="G77" s="275" t="str">
        <f t="shared" ref="G77:G108" si="3">IF(F77/par_TS_brutto&lt;&gt;0,ROUND(F77/par_TS_brutto,4),"")</f>
        <v/>
      </c>
      <c r="H77" s="273"/>
      <c r="I77" s="275" t="str">
        <f t="shared" si="1"/>
        <v/>
      </c>
      <c r="J77" s="274" t="s">
        <v>9</v>
      </c>
      <c r="K77" s="260" t="s">
        <v>195</v>
      </c>
      <c r="L77" s="101"/>
      <c r="M77" s="101"/>
      <c r="N77" s="101"/>
      <c r="O77" s="101"/>
      <c r="P77" s="97"/>
      <c r="Q77" s="97"/>
      <c r="R77" s="97"/>
      <c r="S77" s="97"/>
      <c r="T77" s="95"/>
      <c r="U77" s="95"/>
    </row>
    <row r="78" spans="1:21" ht="15" x14ac:dyDescent="0.25">
      <c r="A78" s="155"/>
      <c r="B78" s="155"/>
      <c r="C78" s="270"/>
      <c r="D78" s="271"/>
      <c r="E78" s="261"/>
      <c r="F78" s="272"/>
      <c r="G78" s="275" t="str">
        <f t="shared" si="3"/>
        <v/>
      </c>
      <c r="H78" s="273"/>
      <c r="I78" s="275" t="str">
        <f t="shared" ref="I78:I134" si="4">IFERROR(ROUND(F78/H78,4),"")</f>
        <v/>
      </c>
      <c r="J78" s="274" t="s">
        <v>9</v>
      </c>
      <c r="K78" s="260" t="s">
        <v>195</v>
      </c>
      <c r="L78" s="101"/>
      <c r="M78" s="101"/>
      <c r="N78" s="101"/>
      <c r="O78" s="101"/>
      <c r="P78" s="97"/>
      <c r="Q78" s="97"/>
      <c r="R78" s="97"/>
      <c r="S78" s="97"/>
      <c r="T78" s="95"/>
      <c r="U78" s="95"/>
    </row>
    <row r="79" spans="1:21" ht="15" x14ac:dyDescent="0.25">
      <c r="A79" s="155"/>
      <c r="B79" s="155"/>
      <c r="C79" s="270"/>
      <c r="D79" s="271"/>
      <c r="E79" s="261"/>
      <c r="F79" s="272"/>
      <c r="G79" s="275" t="str">
        <f t="shared" si="3"/>
        <v/>
      </c>
      <c r="H79" s="273"/>
      <c r="I79" s="275" t="str">
        <f t="shared" si="4"/>
        <v/>
      </c>
      <c r="J79" s="274" t="s">
        <v>9</v>
      </c>
      <c r="K79" s="260" t="s">
        <v>195</v>
      </c>
      <c r="L79" s="156"/>
      <c r="M79" s="156"/>
      <c r="N79" s="156"/>
      <c r="O79" s="156"/>
      <c r="P79" s="97"/>
      <c r="Q79" s="97"/>
      <c r="R79" s="97"/>
      <c r="S79" s="97"/>
      <c r="T79" s="95"/>
      <c r="U79" s="95"/>
    </row>
    <row r="80" spans="1:21" ht="15" x14ac:dyDescent="0.25">
      <c r="A80" s="155"/>
      <c r="B80" s="155"/>
      <c r="C80" s="270"/>
      <c r="D80" s="271"/>
      <c r="E80" s="261"/>
      <c r="F80" s="272"/>
      <c r="G80" s="275" t="str">
        <f t="shared" si="3"/>
        <v/>
      </c>
      <c r="H80" s="273"/>
      <c r="I80" s="275" t="str">
        <f t="shared" si="4"/>
        <v/>
      </c>
      <c r="J80" s="274" t="s">
        <v>9</v>
      </c>
      <c r="K80" s="260" t="s">
        <v>195</v>
      </c>
      <c r="L80" s="101"/>
      <c r="M80" s="101"/>
      <c r="N80" s="101"/>
      <c r="O80" s="101"/>
      <c r="P80" s="97"/>
      <c r="Q80" s="97"/>
      <c r="R80" s="97"/>
      <c r="S80" s="97"/>
      <c r="T80" s="95"/>
      <c r="U80" s="95"/>
    </row>
    <row r="81" spans="1:21" ht="15" x14ac:dyDescent="0.25">
      <c r="A81" s="155"/>
      <c r="B81" s="155"/>
      <c r="C81" s="270"/>
      <c r="D81" s="271"/>
      <c r="E81" s="261"/>
      <c r="F81" s="272"/>
      <c r="G81" s="275" t="str">
        <f t="shared" si="3"/>
        <v/>
      </c>
      <c r="H81" s="273"/>
      <c r="I81" s="275" t="str">
        <f t="shared" si="4"/>
        <v/>
      </c>
      <c r="J81" s="274" t="s">
        <v>9</v>
      </c>
      <c r="K81" s="260" t="s">
        <v>195</v>
      </c>
      <c r="L81" s="101"/>
      <c r="M81" s="101"/>
      <c r="N81" s="101"/>
      <c r="O81" s="101"/>
      <c r="P81" s="97"/>
      <c r="Q81" s="97"/>
      <c r="R81" s="97"/>
      <c r="S81" s="97"/>
      <c r="T81" s="95"/>
      <c r="U81" s="95"/>
    </row>
    <row r="82" spans="1:21" ht="15" x14ac:dyDescent="0.25">
      <c r="A82" s="155"/>
      <c r="B82" s="155"/>
      <c r="C82" s="270"/>
      <c r="D82" s="271"/>
      <c r="E82" s="261"/>
      <c r="F82" s="272"/>
      <c r="G82" s="275" t="str">
        <f t="shared" si="3"/>
        <v/>
      </c>
      <c r="H82" s="273"/>
      <c r="I82" s="275" t="str">
        <f t="shared" si="4"/>
        <v/>
      </c>
      <c r="J82" s="274" t="s">
        <v>9</v>
      </c>
      <c r="K82" s="260" t="s">
        <v>195</v>
      </c>
      <c r="L82" s="156"/>
      <c r="M82" s="156"/>
      <c r="N82" s="156"/>
      <c r="O82" s="156"/>
      <c r="P82" s="97"/>
      <c r="Q82" s="97"/>
      <c r="R82" s="97"/>
      <c r="S82" s="97"/>
      <c r="T82" s="95"/>
      <c r="U82" s="95"/>
    </row>
    <row r="83" spans="1:21" ht="15" x14ac:dyDescent="0.25">
      <c r="A83" s="155"/>
      <c r="B83" s="155"/>
      <c r="C83" s="270"/>
      <c r="D83" s="271"/>
      <c r="E83" s="261"/>
      <c r="F83" s="272"/>
      <c r="G83" s="275" t="str">
        <f t="shared" si="3"/>
        <v/>
      </c>
      <c r="H83" s="273"/>
      <c r="I83" s="275" t="str">
        <f t="shared" si="4"/>
        <v/>
      </c>
      <c r="J83" s="274" t="s">
        <v>9</v>
      </c>
      <c r="K83" s="260" t="s">
        <v>195</v>
      </c>
      <c r="L83" s="101"/>
      <c r="M83" s="101"/>
      <c r="N83" s="101"/>
      <c r="O83" s="101"/>
      <c r="P83" s="97"/>
      <c r="Q83" s="97"/>
      <c r="R83" s="97"/>
      <c r="S83" s="97"/>
      <c r="T83" s="95"/>
      <c r="U83" s="95"/>
    </row>
    <row r="84" spans="1:21" ht="15" x14ac:dyDescent="0.25">
      <c r="A84" s="155"/>
      <c r="B84" s="155"/>
      <c r="C84" s="270"/>
      <c r="D84" s="271"/>
      <c r="E84" s="261"/>
      <c r="F84" s="272"/>
      <c r="G84" s="275" t="str">
        <f t="shared" si="3"/>
        <v/>
      </c>
      <c r="H84" s="273"/>
      <c r="I84" s="275" t="str">
        <f t="shared" si="4"/>
        <v/>
      </c>
      <c r="J84" s="274" t="s">
        <v>9</v>
      </c>
      <c r="K84" s="260" t="s">
        <v>195</v>
      </c>
      <c r="L84" s="101"/>
      <c r="M84" s="101"/>
      <c r="N84" s="101"/>
      <c r="O84" s="101"/>
      <c r="P84" s="97"/>
      <c r="Q84" s="97"/>
      <c r="R84" s="97"/>
      <c r="S84" s="97"/>
      <c r="T84" s="95"/>
      <c r="U84" s="95"/>
    </row>
    <row r="85" spans="1:21" ht="15" x14ac:dyDescent="0.25">
      <c r="A85" s="155"/>
      <c r="B85" s="155"/>
      <c r="C85" s="270"/>
      <c r="D85" s="271"/>
      <c r="E85" s="261"/>
      <c r="F85" s="272"/>
      <c r="G85" s="275" t="str">
        <f t="shared" si="3"/>
        <v/>
      </c>
      <c r="H85" s="273"/>
      <c r="I85" s="275" t="str">
        <f t="shared" si="4"/>
        <v/>
      </c>
      <c r="J85" s="274" t="s">
        <v>9</v>
      </c>
      <c r="K85" s="260" t="s">
        <v>195</v>
      </c>
      <c r="L85" s="156"/>
      <c r="M85" s="156"/>
      <c r="N85" s="156"/>
      <c r="O85" s="156"/>
      <c r="P85" s="97"/>
      <c r="Q85" s="97"/>
      <c r="R85" s="97"/>
      <c r="S85" s="97"/>
      <c r="T85" s="95"/>
      <c r="U85" s="95"/>
    </row>
    <row r="86" spans="1:21" ht="15" x14ac:dyDescent="0.25">
      <c r="A86" s="155"/>
      <c r="B86" s="155"/>
      <c r="C86" s="270"/>
      <c r="D86" s="271"/>
      <c r="E86" s="261"/>
      <c r="F86" s="272"/>
      <c r="G86" s="275" t="str">
        <f t="shared" si="3"/>
        <v/>
      </c>
      <c r="H86" s="273"/>
      <c r="I86" s="275" t="str">
        <f t="shared" si="4"/>
        <v/>
      </c>
      <c r="J86" s="274" t="s">
        <v>9</v>
      </c>
      <c r="K86" s="260" t="s">
        <v>195</v>
      </c>
      <c r="L86" s="101"/>
      <c r="M86" s="101"/>
      <c r="N86" s="101"/>
      <c r="O86" s="101"/>
      <c r="P86" s="97"/>
      <c r="Q86" s="97"/>
      <c r="R86" s="97"/>
      <c r="S86" s="97"/>
      <c r="T86" s="95"/>
      <c r="U86" s="95"/>
    </row>
    <row r="87" spans="1:21" ht="15" x14ac:dyDescent="0.25">
      <c r="A87" s="155"/>
      <c r="B87" s="155"/>
      <c r="C87" s="270"/>
      <c r="D87" s="271"/>
      <c r="E87" s="261"/>
      <c r="F87" s="272"/>
      <c r="G87" s="275" t="str">
        <f t="shared" si="3"/>
        <v/>
      </c>
      <c r="H87" s="273"/>
      <c r="I87" s="275" t="str">
        <f t="shared" si="4"/>
        <v/>
      </c>
      <c r="J87" s="274" t="s">
        <v>9</v>
      </c>
      <c r="K87" s="260" t="s">
        <v>195</v>
      </c>
      <c r="L87" s="101"/>
      <c r="M87" s="101"/>
      <c r="N87" s="101"/>
      <c r="O87" s="101"/>
      <c r="P87" s="97"/>
      <c r="Q87" s="97"/>
      <c r="R87" s="97"/>
      <c r="S87" s="97"/>
      <c r="T87" s="95"/>
      <c r="U87" s="95"/>
    </row>
    <row r="88" spans="1:21" ht="15" x14ac:dyDescent="0.25">
      <c r="A88" s="155"/>
      <c r="B88" s="155"/>
      <c r="C88" s="270"/>
      <c r="D88" s="271"/>
      <c r="E88" s="261"/>
      <c r="F88" s="272"/>
      <c r="G88" s="275" t="str">
        <f t="shared" si="3"/>
        <v/>
      </c>
      <c r="H88" s="273"/>
      <c r="I88" s="275" t="str">
        <f t="shared" si="4"/>
        <v/>
      </c>
      <c r="J88" s="274" t="s">
        <v>9</v>
      </c>
      <c r="K88" s="260" t="s">
        <v>195</v>
      </c>
      <c r="L88" s="156"/>
      <c r="M88" s="156"/>
      <c r="N88" s="156"/>
      <c r="O88" s="156"/>
      <c r="P88" s="97"/>
      <c r="Q88" s="97"/>
      <c r="R88" s="97"/>
      <c r="S88" s="97"/>
      <c r="T88" s="95"/>
      <c r="U88" s="95"/>
    </row>
    <row r="89" spans="1:21" ht="15" x14ac:dyDescent="0.25">
      <c r="A89" s="155"/>
      <c r="B89" s="155"/>
      <c r="C89" s="270"/>
      <c r="D89" s="271"/>
      <c r="E89" s="261"/>
      <c r="F89" s="272"/>
      <c r="G89" s="275" t="str">
        <f t="shared" si="3"/>
        <v/>
      </c>
      <c r="H89" s="273"/>
      <c r="I89" s="275" t="str">
        <f t="shared" si="4"/>
        <v/>
      </c>
      <c r="J89" s="274" t="s">
        <v>9</v>
      </c>
      <c r="K89" s="260" t="s">
        <v>195</v>
      </c>
      <c r="L89" s="101"/>
      <c r="M89" s="101"/>
      <c r="N89" s="101"/>
      <c r="O89" s="101"/>
      <c r="P89" s="97"/>
      <c r="Q89" s="97"/>
      <c r="R89" s="97"/>
      <c r="S89" s="97"/>
      <c r="T89" s="95"/>
      <c r="U89" s="95"/>
    </row>
    <row r="90" spans="1:21" ht="15" x14ac:dyDescent="0.25">
      <c r="A90" s="155"/>
      <c r="B90" s="155"/>
      <c r="C90" s="270"/>
      <c r="D90" s="271"/>
      <c r="E90" s="261"/>
      <c r="F90" s="272"/>
      <c r="G90" s="275" t="str">
        <f t="shared" si="3"/>
        <v/>
      </c>
      <c r="H90" s="273"/>
      <c r="I90" s="275" t="str">
        <f t="shared" si="4"/>
        <v/>
      </c>
      <c r="J90" s="274" t="s">
        <v>9</v>
      </c>
      <c r="K90" s="260" t="s">
        <v>195</v>
      </c>
      <c r="L90" s="101"/>
      <c r="M90" s="101"/>
      <c r="N90" s="101"/>
      <c r="O90" s="101"/>
      <c r="P90" s="97"/>
      <c r="Q90" s="97"/>
      <c r="R90" s="97"/>
      <c r="S90" s="97"/>
      <c r="T90" s="95"/>
      <c r="U90" s="95"/>
    </row>
    <row r="91" spans="1:21" ht="15" x14ac:dyDescent="0.25">
      <c r="A91" s="155"/>
      <c r="B91" s="155"/>
      <c r="C91" s="270"/>
      <c r="D91" s="271"/>
      <c r="E91" s="261"/>
      <c r="F91" s="272"/>
      <c r="G91" s="275" t="str">
        <f t="shared" si="3"/>
        <v/>
      </c>
      <c r="H91" s="273"/>
      <c r="I91" s="275" t="str">
        <f t="shared" si="4"/>
        <v/>
      </c>
      <c r="J91" s="274" t="s">
        <v>9</v>
      </c>
      <c r="K91" s="260" t="s">
        <v>195</v>
      </c>
      <c r="L91" s="156"/>
      <c r="M91" s="156"/>
      <c r="N91" s="156"/>
      <c r="O91" s="156"/>
      <c r="P91" s="97"/>
      <c r="Q91" s="97"/>
      <c r="R91" s="97"/>
      <c r="S91" s="97"/>
      <c r="T91" s="95"/>
      <c r="U91" s="95"/>
    </row>
    <row r="92" spans="1:21" ht="15" x14ac:dyDescent="0.25">
      <c r="A92" s="155"/>
      <c r="B92" s="155"/>
      <c r="C92" s="270"/>
      <c r="D92" s="271"/>
      <c r="E92" s="261"/>
      <c r="F92" s="272"/>
      <c r="G92" s="275" t="str">
        <f t="shared" si="3"/>
        <v/>
      </c>
      <c r="H92" s="273"/>
      <c r="I92" s="275" t="str">
        <f t="shared" si="4"/>
        <v/>
      </c>
      <c r="J92" s="274" t="s">
        <v>9</v>
      </c>
      <c r="K92" s="260" t="s">
        <v>195</v>
      </c>
      <c r="L92" s="101"/>
      <c r="M92" s="101"/>
      <c r="N92" s="101"/>
      <c r="O92" s="101"/>
      <c r="P92" s="97"/>
      <c r="Q92" s="97"/>
      <c r="R92" s="97"/>
      <c r="S92" s="97"/>
      <c r="T92" s="95"/>
      <c r="U92" s="95"/>
    </row>
    <row r="93" spans="1:21" ht="15" x14ac:dyDescent="0.25">
      <c r="A93" s="155"/>
      <c r="B93" s="155"/>
      <c r="C93" s="270"/>
      <c r="D93" s="271"/>
      <c r="E93" s="261"/>
      <c r="F93" s="272"/>
      <c r="G93" s="275" t="str">
        <f t="shared" si="3"/>
        <v/>
      </c>
      <c r="H93" s="273"/>
      <c r="I93" s="275" t="str">
        <f t="shared" si="4"/>
        <v/>
      </c>
      <c r="J93" s="274" t="s">
        <v>9</v>
      </c>
      <c r="K93" s="260" t="s">
        <v>195</v>
      </c>
      <c r="L93" s="101"/>
      <c r="M93" s="101"/>
      <c r="N93" s="101"/>
      <c r="O93" s="101"/>
      <c r="P93" s="97"/>
      <c r="Q93" s="97"/>
      <c r="R93" s="97"/>
      <c r="S93" s="97"/>
      <c r="T93" s="95"/>
      <c r="U93" s="95"/>
    </row>
    <row r="94" spans="1:21" ht="15" x14ac:dyDescent="0.25">
      <c r="A94" s="155"/>
      <c r="B94" s="155"/>
      <c r="C94" s="270"/>
      <c r="D94" s="271"/>
      <c r="E94" s="261"/>
      <c r="F94" s="272"/>
      <c r="G94" s="275" t="str">
        <f t="shared" si="3"/>
        <v/>
      </c>
      <c r="H94" s="273"/>
      <c r="I94" s="275" t="str">
        <f t="shared" si="4"/>
        <v/>
      </c>
      <c r="J94" s="274" t="s">
        <v>9</v>
      </c>
      <c r="K94" s="260" t="s">
        <v>195</v>
      </c>
      <c r="L94" s="156"/>
      <c r="M94" s="156"/>
      <c r="N94" s="156"/>
      <c r="O94" s="156"/>
      <c r="P94" s="97"/>
      <c r="Q94" s="97"/>
      <c r="R94" s="97"/>
      <c r="S94" s="97"/>
      <c r="T94" s="95"/>
      <c r="U94" s="95"/>
    </row>
    <row r="95" spans="1:21" ht="15" x14ac:dyDescent="0.25">
      <c r="A95" s="155"/>
      <c r="B95" s="155"/>
      <c r="C95" s="270"/>
      <c r="D95" s="271"/>
      <c r="E95" s="261"/>
      <c r="F95" s="272"/>
      <c r="G95" s="275" t="str">
        <f t="shared" si="3"/>
        <v/>
      </c>
      <c r="H95" s="273"/>
      <c r="I95" s="275" t="str">
        <f t="shared" si="4"/>
        <v/>
      </c>
      <c r="J95" s="274" t="s">
        <v>9</v>
      </c>
      <c r="K95" s="260" t="s">
        <v>195</v>
      </c>
      <c r="L95" s="101"/>
      <c r="M95" s="101"/>
      <c r="N95" s="101"/>
      <c r="O95" s="101"/>
      <c r="P95" s="97"/>
      <c r="Q95" s="97"/>
      <c r="R95" s="97"/>
      <c r="S95" s="97"/>
      <c r="T95" s="95"/>
      <c r="U95" s="95"/>
    </row>
    <row r="96" spans="1:21" ht="15" x14ac:dyDescent="0.25">
      <c r="A96" s="155"/>
      <c r="B96" s="155"/>
      <c r="C96" s="270"/>
      <c r="D96" s="271"/>
      <c r="E96" s="261"/>
      <c r="F96" s="272"/>
      <c r="G96" s="275" t="str">
        <f t="shared" si="3"/>
        <v/>
      </c>
      <c r="H96" s="273"/>
      <c r="I96" s="275" t="str">
        <f t="shared" si="4"/>
        <v/>
      </c>
      <c r="J96" s="274" t="s">
        <v>9</v>
      </c>
      <c r="K96" s="260" t="s">
        <v>195</v>
      </c>
      <c r="L96" s="101"/>
      <c r="M96" s="101"/>
      <c r="N96" s="101"/>
      <c r="O96" s="101"/>
      <c r="P96" s="97"/>
      <c r="Q96" s="97"/>
      <c r="R96" s="97"/>
      <c r="S96" s="97"/>
      <c r="T96" s="95"/>
      <c r="U96" s="95"/>
    </row>
    <row r="97" spans="1:21" ht="15" x14ac:dyDescent="0.25">
      <c r="A97" s="155"/>
      <c r="B97" s="155"/>
      <c r="C97" s="270"/>
      <c r="D97" s="271"/>
      <c r="E97" s="261"/>
      <c r="F97" s="272"/>
      <c r="G97" s="275" t="str">
        <f t="shared" si="3"/>
        <v/>
      </c>
      <c r="H97" s="273"/>
      <c r="I97" s="275" t="str">
        <f t="shared" si="4"/>
        <v/>
      </c>
      <c r="J97" s="274" t="s">
        <v>9</v>
      </c>
      <c r="K97" s="260" t="s">
        <v>195</v>
      </c>
      <c r="L97" s="156"/>
      <c r="M97" s="156"/>
      <c r="N97" s="156"/>
      <c r="O97" s="156"/>
      <c r="P97" s="97"/>
      <c r="Q97" s="97"/>
      <c r="R97" s="97"/>
      <c r="S97" s="97"/>
      <c r="T97" s="95"/>
      <c r="U97" s="95"/>
    </row>
    <row r="98" spans="1:21" ht="15" x14ac:dyDescent="0.25">
      <c r="A98" s="155"/>
      <c r="B98" s="155"/>
      <c r="C98" s="270"/>
      <c r="D98" s="271"/>
      <c r="E98" s="261"/>
      <c r="F98" s="272"/>
      <c r="G98" s="275" t="str">
        <f t="shared" si="3"/>
        <v/>
      </c>
      <c r="H98" s="273"/>
      <c r="I98" s="275" t="str">
        <f t="shared" si="4"/>
        <v/>
      </c>
      <c r="J98" s="274" t="s">
        <v>9</v>
      </c>
      <c r="K98" s="260" t="s">
        <v>195</v>
      </c>
      <c r="L98" s="101"/>
      <c r="M98" s="101"/>
      <c r="N98" s="101"/>
      <c r="O98" s="101"/>
      <c r="P98" s="97"/>
      <c r="Q98" s="97"/>
      <c r="R98" s="97"/>
      <c r="S98" s="97"/>
      <c r="T98" s="95"/>
      <c r="U98" s="95"/>
    </row>
    <row r="99" spans="1:21" ht="15" x14ac:dyDescent="0.25">
      <c r="A99" s="155"/>
      <c r="B99" s="155"/>
      <c r="C99" s="270"/>
      <c r="D99" s="271"/>
      <c r="E99" s="261"/>
      <c r="F99" s="272"/>
      <c r="G99" s="275" t="str">
        <f t="shared" si="3"/>
        <v/>
      </c>
      <c r="H99" s="273"/>
      <c r="I99" s="275" t="str">
        <f t="shared" si="4"/>
        <v/>
      </c>
      <c r="J99" s="274" t="s">
        <v>9</v>
      </c>
      <c r="K99" s="260" t="s">
        <v>195</v>
      </c>
      <c r="L99" s="101"/>
      <c r="M99" s="101"/>
      <c r="N99" s="101"/>
      <c r="O99" s="101"/>
      <c r="P99" s="97"/>
      <c r="Q99" s="97"/>
      <c r="R99" s="97"/>
      <c r="S99" s="97"/>
      <c r="T99" s="95"/>
      <c r="U99" s="95"/>
    </row>
    <row r="100" spans="1:21" ht="15" x14ac:dyDescent="0.25">
      <c r="A100" s="155"/>
      <c r="B100" s="155"/>
      <c r="C100" s="270"/>
      <c r="D100" s="271"/>
      <c r="E100" s="261"/>
      <c r="F100" s="272"/>
      <c r="G100" s="275" t="str">
        <f t="shared" si="3"/>
        <v/>
      </c>
      <c r="H100" s="273"/>
      <c r="I100" s="275" t="str">
        <f t="shared" si="4"/>
        <v/>
      </c>
      <c r="J100" s="274" t="s">
        <v>9</v>
      </c>
      <c r="K100" s="260" t="s">
        <v>195</v>
      </c>
      <c r="L100" s="156"/>
      <c r="M100" s="156"/>
      <c r="N100" s="156"/>
      <c r="O100" s="156"/>
      <c r="P100" s="97"/>
      <c r="Q100" s="97"/>
      <c r="R100" s="97"/>
      <c r="S100" s="97"/>
      <c r="T100" s="95"/>
      <c r="U100" s="95"/>
    </row>
    <row r="101" spans="1:21" ht="15" x14ac:dyDescent="0.25">
      <c r="A101" s="155"/>
      <c r="B101" s="155"/>
      <c r="C101" s="270"/>
      <c r="D101" s="271"/>
      <c r="E101" s="261"/>
      <c r="F101" s="272"/>
      <c r="G101" s="275" t="str">
        <f t="shared" si="3"/>
        <v/>
      </c>
      <c r="H101" s="273"/>
      <c r="I101" s="275" t="str">
        <f t="shared" si="4"/>
        <v/>
      </c>
      <c r="J101" s="274" t="s">
        <v>9</v>
      </c>
      <c r="K101" s="260" t="s">
        <v>195</v>
      </c>
      <c r="L101" s="101"/>
      <c r="M101" s="101"/>
      <c r="N101" s="101"/>
      <c r="O101" s="101"/>
      <c r="P101" s="97"/>
      <c r="Q101" s="97"/>
      <c r="R101" s="97"/>
      <c r="S101" s="97"/>
      <c r="T101" s="95"/>
      <c r="U101" s="95"/>
    </row>
    <row r="102" spans="1:21" ht="15" x14ac:dyDescent="0.25">
      <c r="A102" s="155"/>
      <c r="B102" s="155"/>
      <c r="C102" s="270"/>
      <c r="D102" s="271"/>
      <c r="E102" s="261"/>
      <c r="F102" s="272"/>
      <c r="G102" s="275" t="str">
        <f t="shared" si="3"/>
        <v/>
      </c>
      <c r="H102" s="273"/>
      <c r="I102" s="275" t="str">
        <f t="shared" si="4"/>
        <v/>
      </c>
      <c r="J102" s="274" t="s">
        <v>9</v>
      </c>
      <c r="K102" s="260" t="s">
        <v>195</v>
      </c>
      <c r="L102" s="101"/>
      <c r="M102" s="101"/>
      <c r="N102" s="101"/>
      <c r="O102" s="101"/>
      <c r="P102" s="97"/>
      <c r="Q102" s="97"/>
      <c r="R102" s="97"/>
      <c r="S102" s="97"/>
      <c r="T102" s="95"/>
      <c r="U102" s="95"/>
    </row>
    <row r="103" spans="1:21" ht="15" x14ac:dyDescent="0.25">
      <c r="A103" s="155"/>
      <c r="B103" s="155"/>
      <c r="C103" s="270"/>
      <c r="D103" s="271"/>
      <c r="E103" s="261"/>
      <c r="F103" s="272"/>
      <c r="G103" s="275" t="str">
        <f t="shared" si="3"/>
        <v/>
      </c>
      <c r="H103" s="273"/>
      <c r="I103" s="275" t="str">
        <f t="shared" si="4"/>
        <v/>
      </c>
      <c r="J103" s="274" t="s">
        <v>9</v>
      </c>
      <c r="K103" s="260" t="s">
        <v>195</v>
      </c>
      <c r="L103" s="156"/>
      <c r="M103" s="156"/>
      <c r="N103" s="156"/>
      <c r="O103" s="156"/>
      <c r="P103" s="97"/>
      <c r="Q103" s="97"/>
      <c r="R103" s="97"/>
      <c r="S103" s="97"/>
      <c r="T103" s="95"/>
      <c r="U103" s="95"/>
    </row>
    <row r="104" spans="1:21" ht="15" x14ac:dyDescent="0.25">
      <c r="A104" s="155"/>
      <c r="B104" s="155"/>
      <c r="C104" s="270"/>
      <c r="D104" s="271"/>
      <c r="E104" s="261"/>
      <c r="F104" s="272"/>
      <c r="G104" s="275" t="str">
        <f t="shared" si="3"/>
        <v/>
      </c>
      <c r="H104" s="273"/>
      <c r="I104" s="275" t="str">
        <f t="shared" si="4"/>
        <v/>
      </c>
      <c r="J104" s="274" t="s">
        <v>9</v>
      </c>
      <c r="K104" s="260" t="s">
        <v>195</v>
      </c>
      <c r="L104" s="101"/>
      <c r="M104" s="101"/>
      <c r="N104" s="101"/>
      <c r="O104" s="101"/>
      <c r="P104" s="97"/>
      <c r="Q104" s="97"/>
      <c r="R104" s="97"/>
      <c r="S104" s="97"/>
      <c r="T104" s="95"/>
      <c r="U104" s="95"/>
    </row>
    <row r="105" spans="1:21" ht="15" x14ac:dyDescent="0.25">
      <c r="A105" s="155"/>
      <c r="B105" s="155"/>
      <c r="C105" s="270"/>
      <c r="D105" s="271"/>
      <c r="E105" s="261"/>
      <c r="F105" s="272"/>
      <c r="G105" s="275" t="str">
        <f t="shared" si="3"/>
        <v/>
      </c>
      <c r="H105" s="273"/>
      <c r="I105" s="275" t="str">
        <f t="shared" si="4"/>
        <v/>
      </c>
      <c r="J105" s="274" t="s">
        <v>9</v>
      </c>
      <c r="K105" s="260" t="s">
        <v>195</v>
      </c>
      <c r="L105" s="101"/>
      <c r="M105" s="101"/>
      <c r="N105" s="101"/>
      <c r="O105" s="101"/>
      <c r="P105" s="97"/>
      <c r="Q105" s="97"/>
      <c r="R105" s="97"/>
      <c r="S105" s="97"/>
      <c r="T105" s="95"/>
      <c r="U105" s="95"/>
    </row>
    <row r="106" spans="1:21" ht="15" x14ac:dyDescent="0.25">
      <c r="A106" s="155"/>
      <c r="B106" s="155"/>
      <c r="C106" s="270"/>
      <c r="D106" s="271"/>
      <c r="E106" s="261"/>
      <c r="F106" s="272"/>
      <c r="G106" s="275" t="str">
        <f t="shared" si="3"/>
        <v/>
      </c>
      <c r="H106" s="273"/>
      <c r="I106" s="275" t="str">
        <f t="shared" si="4"/>
        <v/>
      </c>
      <c r="J106" s="274" t="s">
        <v>9</v>
      </c>
      <c r="K106" s="260" t="s">
        <v>195</v>
      </c>
      <c r="L106" s="156"/>
      <c r="M106" s="156"/>
      <c r="N106" s="156"/>
      <c r="O106" s="156"/>
      <c r="P106" s="97"/>
      <c r="Q106" s="97"/>
      <c r="R106" s="97"/>
      <c r="S106" s="97"/>
      <c r="T106" s="95"/>
      <c r="U106" s="95"/>
    </row>
    <row r="107" spans="1:21" ht="15" x14ac:dyDescent="0.25">
      <c r="A107" s="155"/>
      <c r="B107" s="155"/>
      <c r="C107" s="270"/>
      <c r="D107" s="271"/>
      <c r="E107" s="261"/>
      <c r="F107" s="272"/>
      <c r="G107" s="275" t="str">
        <f t="shared" si="3"/>
        <v/>
      </c>
      <c r="H107" s="273"/>
      <c r="I107" s="275" t="str">
        <f t="shared" si="4"/>
        <v/>
      </c>
      <c r="J107" s="274" t="s">
        <v>9</v>
      </c>
      <c r="K107" s="260" t="s">
        <v>195</v>
      </c>
      <c r="L107" s="101"/>
      <c r="M107" s="101"/>
      <c r="N107" s="101"/>
      <c r="O107" s="101"/>
      <c r="P107" s="97"/>
      <c r="Q107" s="97"/>
      <c r="R107" s="97"/>
      <c r="S107" s="97"/>
      <c r="T107" s="95"/>
      <c r="U107" s="95"/>
    </row>
    <row r="108" spans="1:21" ht="15" x14ac:dyDescent="0.25">
      <c r="A108" s="155"/>
      <c r="B108" s="155"/>
      <c r="C108" s="270"/>
      <c r="D108" s="271"/>
      <c r="E108" s="261"/>
      <c r="F108" s="272"/>
      <c r="G108" s="275" t="str">
        <f t="shared" si="3"/>
        <v/>
      </c>
      <c r="H108" s="273"/>
      <c r="I108" s="275" t="str">
        <f t="shared" si="4"/>
        <v/>
      </c>
      <c r="J108" s="274" t="s">
        <v>9</v>
      </c>
      <c r="K108" s="260" t="s">
        <v>195</v>
      </c>
      <c r="L108" s="101"/>
      <c r="M108" s="101"/>
      <c r="N108" s="101"/>
      <c r="O108" s="101"/>
      <c r="P108" s="97"/>
      <c r="Q108" s="97"/>
      <c r="R108" s="97"/>
      <c r="S108" s="97"/>
      <c r="T108" s="95"/>
      <c r="U108" s="95"/>
    </row>
    <row r="109" spans="1:21" ht="15" x14ac:dyDescent="0.25">
      <c r="A109" s="155"/>
      <c r="B109" s="155"/>
      <c r="C109" s="270"/>
      <c r="D109" s="271"/>
      <c r="E109" s="261"/>
      <c r="F109" s="272"/>
      <c r="G109" s="275" t="str">
        <f t="shared" ref="G109:G134" si="5">IF(F109/par_TS_brutto&lt;&gt;0,ROUND(F109/par_TS_brutto,4),"")</f>
        <v/>
      </c>
      <c r="H109" s="273"/>
      <c r="I109" s="275" t="str">
        <f t="shared" si="4"/>
        <v/>
      </c>
      <c r="J109" s="274" t="s">
        <v>9</v>
      </c>
      <c r="K109" s="260" t="s">
        <v>195</v>
      </c>
      <c r="L109" s="156"/>
      <c r="M109" s="156"/>
      <c r="N109" s="156"/>
      <c r="O109" s="156"/>
      <c r="P109" s="97"/>
      <c r="Q109" s="97"/>
      <c r="R109" s="97"/>
      <c r="S109" s="97"/>
      <c r="T109" s="95"/>
      <c r="U109" s="95"/>
    </row>
    <row r="110" spans="1:21" ht="15" x14ac:dyDescent="0.25">
      <c r="A110" s="155"/>
      <c r="B110" s="155"/>
      <c r="C110" s="270"/>
      <c r="D110" s="271"/>
      <c r="E110" s="261"/>
      <c r="F110" s="272"/>
      <c r="G110" s="275" t="str">
        <f t="shared" si="5"/>
        <v/>
      </c>
      <c r="H110" s="273"/>
      <c r="I110" s="275" t="str">
        <f t="shared" si="4"/>
        <v/>
      </c>
      <c r="J110" s="274" t="s">
        <v>9</v>
      </c>
      <c r="K110" s="260" t="s">
        <v>195</v>
      </c>
      <c r="L110" s="101"/>
      <c r="M110" s="101"/>
      <c r="N110" s="101"/>
      <c r="O110" s="101"/>
      <c r="P110" s="97"/>
      <c r="Q110" s="97"/>
      <c r="R110" s="97"/>
      <c r="S110" s="97"/>
      <c r="T110" s="95"/>
      <c r="U110" s="95"/>
    </row>
    <row r="111" spans="1:21" ht="15" x14ac:dyDescent="0.25">
      <c r="A111" s="155"/>
      <c r="B111" s="155"/>
      <c r="C111" s="270"/>
      <c r="D111" s="271"/>
      <c r="E111" s="261"/>
      <c r="F111" s="272"/>
      <c r="G111" s="275" t="str">
        <f t="shared" si="5"/>
        <v/>
      </c>
      <c r="H111" s="273"/>
      <c r="I111" s="275" t="str">
        <f t="shared" si="4"/>
        <v/>
      </c>
      <c r="J111" s="274" t="s">
        <v>9</v>
      </c>
      <c r="K111" s="260" t="s">
        <v>195</v>
      </c>
      <c r="L111" s="101"/>
      <c r="M111" s="101"/>
      <c r="N111" s="101"/>
      <c r="O111" s="101"/>
      <c r="P111" s="97"/>
      <c r="Q111" s="97"/>
      <c r="R111" s="97"/>
      <c r="S111" s="97"/>
      <c r="T111" s="95"/>
      <c r="U111" s="95"/>
    </row>
    <row r="112" spans="1:21" ht="15" x14ac:dyDescent="0.25">
      <c r="A112" s="155"/>
      <c r="B112" s="155"/>
      <c r="C112" s="270"/>
      <c r="D112" s="271"/>
      <c r="E112" s="261"/>
      <c r="F112" s="272"/>
      <c r="G112" s="275" t="str">
        <f t="shared" si="5"/>
        <v/>
      </c>
      <c r="H112" s="273"/>
      <c r="I112" s="275" t="str">
        <f t="shared" si="4"/>
        <v/>
      </c>
      <c r="J112" s="274" t="s">
        <v>9</v>
      </c>
      <c r="K112" s="260" t="s">
        <v>195</v>
      </c>
      <c r="L112" s="156"/>
      <c r="M112" s="156"/>
      <c r="N112" s="156"/>
      <c r="O112" s="156"/>
      <c r="P112" s="97"/>
      <c r="Q112" s="97"/>
      <c r="R112" s="97"/>
      <c r="S112" s="97"/>
      <c r="T112" s="95"/>
      <c r="U112" s="95"/>
    </row>
    <row r="113" spans="1:21" ht="15" x14ac:dyDescent="0.25">
      <c r="A113" s="155"/>
      <c r="B113" s="155"/>
      <c r="C113" s="270"/>
      <c r="D113" s="271"/>
      <c r="E113" s="261"/>
      <c r="F113" s="272"/>
      <c r="G113" s="275" t="str">
        <f t="shared" si="5"/>
        <v/>
      </c>
      <c r="H113" s="273"/>
      <c r="I113" s="275" t="str">
        <f t="shared" si="4"/>
        <v/>
      </c>
      <c r="J113" s="274" t="s">
        <v>9</v>
      </c>
      <c r="K113" s="260" t="s">
        <v>195</v>
      </c>
      <c r="L113" s="101"/>
      <c r="M113" s="101"/>
      <c r="N113" s="101"/>
      <c r="O113" s="101"/>
      <c r="P113" s="97"/>
      <c r="Q113" s="97"/>
      <c r="R113" s="97"/>
      <c r="S113" s="97"/>
      <c r="T113" s="95"/>
      <c r="U113" s="95"/>
    </row>
    <row r="114" spans="1:21" ht="15" x14ac:dyDescent="0.25">
      <c r="A114" s="155"/>
      <c r="B114" s="155"/>
      <c r="C114" s="270"/>
      <c r="D114" s="271"/>
      <c r="E114" s="261"/>
      <c r="F114" s="272"/>
      <c r="G114" s="275" t="str">
        <f t="shared" si="5"/>
        <v/>
      </c>
      <c r="H114" s="273"/>
      <c r="I114" s="275" t="str">
        <f t="shared" si="4"/>
        <v/>
      </c>
      <c r="J114" s="274" t="s">
        <v>9</v>
      </c>
      <c r="K114" s="260" t="s">
        <v>195</v>
      </c>
      <c r="L114" s="101"/>
      <c r="M114" s="101"/>
      <c r="N114" s="101"/>
      <c r="O114" s="101"/>
      <c r="P114" s="97"/>
      <c r="Q114" s="97"/>
      <c r="R114" s="97"/>
      <c r="S114" s="97"/>
      <c r="T114" s="95"/>
      <c r="U114" s="95"/>
    </row>
    <row r="115" spans="1:21" ht="15" x14ac:dyDescent="0.25">
      <c r="A115" s="155"/>
      <c r="B115" s="155"/>
      <c r="C115" s="270"/>
      <c r="D115" s="271"/>
      <c r="E115" s="261"/>
      <c r="F115" s="272"/>
      <c r="G115" s="275" t="str">
        <f t="shared" si="5"/>
        <v/>
      </c>
      <c r="H115" s="273"/>
      <c r="I115" s="275" t="str">
        <f t="shared" si="4"/>
        <v/>
      </c>
      <c r="J115" s="274" t="s">
        <v>9</v>
      </c>
      <c r="K115" s="260" t="s">
        <v>195</v>
      </c>
      <c r="L115" s="155"/>
      <c r="M115" s="155"/>
      <c r="N115" s="155"/>
      <c r="O115" s="155"/>
      <c r="P115" s="97"/>
      <c r="Q115" s="97"/>
      <c r="R115" s="97"/>
      <c r="S115" s="97"/>
      <c r="T115" s="95"/>
      <c r="U115" s="95"/>
    </row>
    <row r="116" spans="1:21" ht="15" x14ac:dyDescent="0.25">
      <c r="A116" s="155"/>
      <c r="B116" s="155"/>
      <c r="C116" s="270"/>
      <c r="D116" s="271"/>
      <c r="E116" s="261"/>
      <c r="F116" s="272"/>
      <c r="G116" s="275" t="str">
        <f t="shared" si="5"/>
        <v/>
      </c>
      <c r="H116" s="273"/>
      <c r="I116" s="275" t="str">
        <f t="shared" si="4"/>
        <v/>
      </c>
      <c r="J116" s="274" t="s">
        <v>9</v>
      </c>
      <c r="K116" s="260" t="s">
        <v>195</v>
      </c>
      <c r="L116" s="99"/>
      <c r="M116" s="99"/>
      <c r="N116" s="99"/>
      <c r="O116" s="99"/>
      <c r="P116" s="97"/>
      <c r="Q116" s="97"/>
      <c r="R116" s="97"/>
      <c r="S116" s="97"/>
      <c r="T116" s="95"/>
      <c r="U116" s="95"/>
    </row>
    <row r="117" spans="1:21" ht="15" x14ac:dyDescent="0.25">
      <c r="A117" s="155"/>
      <c r="B117" s="155"/>
      <c r="C117" s="270"/>
      <c r="D117" s="271"/>
      <c r="E117" s="261"/>
      <c r="F117" s="272"/>
      <c r="G117" s="275" t="str">
        <f t="shared" si="5"/>
        <v/>
      </c>
      <c r="H117" s="273"/>
      <c r="I117" s="275" t="str">
        <f t="shared" si="4"/>
        <v/>
      </c>
      <c r="J117" s="274" t="s">
        <v>9</v>
      </c>
      <c r="K117" s="260" t="s">
        <v>195</v>
      </c>
      <c r="L117" s="99"/>
      <c r="M117" s="99"/>
      <c r="N117" s="99"/>
      <c r="O117" s="99"/>
      <c r="P117" s="97"/>
      <c r="Q117" s="97"/>
      <c r="R117" s="97"/>
      <c r="S117" s="97"/>
      <c r="T117" s="95"/>
      <c r="U117" s="95"/>
    </row>
    <row r="118" spans="1:21" ht="15" x14ac:dyDescent="0.25">
      <c r="A118" s="155"/>
      <c r="B118" s="155"/>
      <c r="C118" s="270"/>
      <c r="D118" s="271"/>
      <c r="E118" s="261"/>
      <c r="F118" s="272"/>
      <c r="G118" s="275" t="str">
        <f t="shared" si="5"/>
        <v/>
      </c>
      <c r="H118" s="273"/>
      <c r="I118" s="275" t="str">
        <f t="shared" si="4"/>
        <v/>
      </c>
      <c r="J118" s="274" t="s">
        <v>9</v>
      </c>
      <c r="K118" s="260" t="s">
        <v>195</v>
      </c>
      <c r="L118" s="155"/>
      <c r="M118" s="155"/>
      <c r="N118" s="155"/>
      <c r="O118" s="155"/>
      <c r="P118" s="97"/>
      <c r="Q118" s="97"/>
      <c r="R118" s="97"/>
      <c r="S118" s="97"/>
      <c r="T118" s="95"/>
      <c r="U118" s="95"/>
    </row>
    <row r="119" spans="1:21" ht="15" x14ac:dyDescent="0.25">
      <c r="A119" s="155"/>
      <c r="B119" s="155"/>
      <c r="C119" s="270"/>
      <c r="D119" s="271"/>
      <c r="E119" s="261"/>
      <c r="F119" s="272"/>
      <c r="G119" s="275" t="str">
        <f t="shared" si="5"/>
        <v/>
      </c>
      <c r="H119" s="273"/>
      <c r="I119" s="275" t="str">
        <f t="shared" si="4"/>
        <v/>
      </c>
      <c r="J119" s="274" t="s">
        <v>9</v>
      </c>
      <c r="K119" s="260" t="s">
        <v>195</v>
      </c>
      <c r="L119" s="99"/>
      <c r="M119" s="99"/>
      <c r="N119" s="99"/>
      <c r="O119" s="99"/>
      <c r="P119" s="97"/>
      <c r="Q119" s="97"/>
      <c r="R119" s="97"/>
      <c r="S119" s="97"/>
      <c r="T119" s="95"/>
      <c r="U119" s="95"/>
    </row>
    <row r="120" spans="1:21" ht="15" x14ac:dyDescent="0.25">
      <c r="A120" s="155"/>
      <c r="B120" s="155"/>
      <c r="C120" s="270"/>
      <c r="D120" s="271"/>
      <c r="E120" s="261"/>
      <c r="F120" s="272"/>
      <c r="G120" s="275" t="str">
        <f t="shared" si="5"/>
        <v/>
      </c>
      <c r="H120" s="273"/>
      <c r="I120" s="275" t="str">
        <f t="shared" si="4"/>
        <v/>
      </c>
      <c r="J120" s="274" t="s">
        <v>9</v>
      </c>
      <c r="K120" s="260" t="s">
        <v>195</v>
      </c>
      <c r="L120" s="99"/>
      <c r="M120" s="99"/>
      <c r="N120" s="99"/>
      <c r="O120" s="99"/>
      <c r="P120" s="97"/>
      <c r="Q120" s="97"/>
      <c r="R120" s="97"/>
      <c r="S120" s="97"/>
      <c r="T120" s="95"/>
      <c r="U120" s="95"/>
    </row>
    <row r="121" spans="1:21" ht="15" x14ac:dyDescent="0.25">
      <c r="A121" s="155"/>
      <c r="B121" s="155"/>
      <c r="C121" s="270"/>
      <c r="D121" s="271"/>
      <c r="E121" s="261"/>
      <c r="F121" s="272"/>
      <c r="G121" s="275" t="str">
        <f t="shared" si="5"/>
        <v/>
      </c>
      <c r="H121" s="273"/>
      <c r="I121" s="275" t="str">
        <f t="shared" si="4"/>
        <v/>
      </c>
      <c r="J121" s="274" t="s">
        <v>9</v>
      </c>
      <c r="K121" s="260" t="s">
        <v>195</v>
      </c>
      <c r="L121" s="155"/>
      <c r="M121" s="155"/>
      <c r="N121" s="155"/>
      <c r="O121" s="155"/>
      <c r="P121" s="97"/>
      <c r="Q121" s="97"/>
      <c r="R121" s="97"/>
      <c r="S121" s="97"/>
      <c r="T121" s="95"/>
      <c r="U121" s="95"/>
    </row>
    <row r="122" spans="1:21" ht="15" x14ac:dyDescent="0.25">
      <c r="A122" s="155"/>
      <c r="B122" s="155"/>
      <c r="C122" s="270"/>
      <c r="D122" s="271"/>
      <c r="E122" s="261"/>
      <c r="F122" s="272"/>
      <c r="G122" s="275" t="str">
        <f t="shared" si="5"/>
        <v/>
      </c>
      <c r="H122" s="273"/>
      <c r="I122" s="275" t="str">
        <f t="shared" si="4"/>
        <v/>
      </c>
      <c r="J122" s="274" t="s">
        <v>9</v>
      </c>
      <c r="K122" s="260" t="s">
        <v>195</v>
      </c>
      <c r="L122" s="99"/>
      <c r="M122" s="99"/>
      <c r="N122" s="99"/>
      <c r="O122" s="99"/>
      <c r="P122" s="97"/>
      <c r="Q122" s="97"/>
      <c r="R122" s="97"/>
      <c r="S122" s="97"/>
      <c r="T122" s="95"/>
      <c r="U122" s="95"/>
    </row>
    <row r="123" spans="1:21" ht="15" x14ac:dyDescent="0.25">
      <c r="A123" s="155"/>
      <c r="B123" s="155"/>
      <c r="C123" s="270"/>
      <c r="D123" s="271"/>
      <c r="E123" s="261"/>
      <c r="F123" s="272"/>
      <c r="G123" s="275" t="str">
        <f t="shared" si="5"/>
        <v/>
      </c>
      <c r="H123" s="273"/>
      <c r="I123" s="275" t="str">
        <f t="shared" si="4"/>
        <v/>
      </c>
      <c r="J123" s="274" t="s">
        <v>9</v>
      </c>
      <c r="K123" s="260" t="s">
        <v>195</v>
      </c>
      <c r="L123" s="99"/>
      <c r="M123" s="99"/>
      <c r="N123" s="99"/>
      <c r="O123" s="99"/>
      <c r="P123" s="97"/>
      <c r="Q123" s="97"/>
      <c r="R123" s="97"/>
      <c r="S123" s="97"/>
      <c r="T123" s="95"/>
      <c r="U123" s="95"/>
    </row>
    <row r="124" spans="1:21" ht="15" x14ac:dyDescent="0.25">
      <c r="A124" s="155"/>
      <c r="B124" s="155"/>
      <c r="C124" s="270"/>
      <c r="D124" s="271"/>
      <c r="E124" s="261"/>
      <c r="F124" s="272"/>
      <c r="G124" s="275" t="str">
        <f t="shared" si="5"/>
        <v/>
      </c>
      <c r="H124" s="273"/>
      <c r="I124" s="275" t="str">
        <f t="shared" si="4"/>
        <v/>
      </c>
      <c r="J124" s="274" t="s">
        <v>9</v>
      </c>
      <c r="K124" s="260" t="s">
        <v>195</v>
      </c>
      <c r="L124" s="155"/>
      <c r="M124" s="155"/>
      <c r="N124" s="155"/>
      <c r="O124" s="155"/>
      <c r="P124" s="97"/>
      <c r="Q124" s="97"/>
      <c r="R124" s="97"/>
      <c r="S124" s="97"/>
      <c r="T124" s="95"/>
      <c r="U124" s="95"/>
    </row>
    <row r="125" spans="1:21" ht="15" x14ac:dyDescent="0.25">
      <c r="A125" s="155"/>
      <c r="B125" s="155"/>
      <c r="C125" s="270"/>
      <c r="D125" s="271"/>
      <c r="E125" s="261"/>
      <c r="F125" s="272"/>
      <c r="G125" s="275" t="str">
        <f t="shared" si="5"/>
        <v/>
      </c>
      <c r="H125" s="273"/>
      <c r="I125" s="275" t="str">
        <f t="shared" si="4"/>
        <v/>
      </c>
      <c r="J125" s="274" t="s">
        <v>9</v>
      </c>
      <c r="K125" s="260" t="s">
        <v>195</v>
      </c>
      <c r="L125" s="99"/>
      <c r="M125" s="99"/>
      <c r="N125" s="99"/>
      <c r="O125" s="99"/>
      <c r="P125" s="97"/>
      <c r="Q125" s="97"/>
      <c r="R125" s="97"/>
      <c r="S125" s="97"/>
      <c r="T125" s="95"/>
      <c r="U125" s="95"/>
    </row>
    <row r="126" spans="1:21" ht="15" x14ac:dyDescent="0.25">
      <c r="A126" s="155"/>
      <c r="B126" s="155"/>
      <c r="C126" s="270"/>
      <c r="D126" s="271"/>
      <c r="E126" s="261"/>
      <c r="F126" s="272"/>
      <c r="G126" s="275" t="str">
        <f t="shared" si="5"/>
        <v/>
      </c>
      <c r="H126" s="273"/>
      <c r="I126" s="275" t="str">
        <f t="shared" si="4"/>
        <v/>
      </c>
      <c r="J126" s="274" t="s">
        <v>9</v>
      </c>
      <c r="K126" s="260" t="s">
        <v>195</v>
      </c>
      <c r="L126" s="99"/>
      <c r="M126" s="99"/>
      <c r="N126" s="99"/>
      <c r="O126" s="99"/>
      <c r="P126" s="97"/>
      <c r="Q126" s="97"/>
      <c r="R126" s="97"/>
      <c r="S126" s="97"/>
      <c r="T126" s="95"/>
      <c r="U126" s="95"/>
    </row>
    <row r="127" spans="1:21" ht="15" x14ac:dyDescent="0.25">
      <c r="A127" s="155"/>
      <c r="B127" s="155"/>
      <c r="C127" s="270"/>
      <c r="D127" s="271"/>
      <c r="E127" s="261"/>
      <c r="F127" s="272"/>
      <c r="G127" s="275" t="str">
        <f t="shared" si="5"/>
        <v/>
      </c>
      <c r="H127" s="273"/>
      <c r="I127" s="275" t="str">
        <f t="shared" si="4"/>
        <v/>
      </c>
      <c r="J127" s="274" t="s">
        <v>9</v>
      </c>
      <c r="K127" s="260" t="s">
        <v>195</v>
      </c>
      <c r="L127" s="155"/>
      <c r="M127" s="155"/>
      <c r="N127" s="155"/>
      <c r="O127" s="155"/>
      <c r="P127" s="97"/>
      <c r="Q127" s="97"/>
      <c r="R127" s="97"/>
      <c r="S127" s="97"/>
      <c r="T127" s="95"/>
      <c r="U127" s="95"/>
    </row>
    <row r="128" spans="1:21" ht="15" x14ac:dyDescent="0.25">
      <c r="A128" s="155"/>
      <c r="B128" s="155"/>
      <c r="C128" s="270"/>
      <c r="D128" s="271"/>
      <c r="E128" s="261"/>
      <c r="F128" s="272"/>
      <c r="G128" s="275" t="str">
        <f t="shared" si="5"/>
        <v/>
      </c>
      <c r="H128" s="273"/>
      <c r="I128" s="275" t="str">
        <f t="shared" si="4"/>
        <v/>
      </c>
      <c r="J128" s="274" t="s">
        <v>9</v>
      </c>
      <c r="K128" s="260" t="s">
        <v>195</v>
      </c>
      <c r="L128" s="99"/>
      <c r="M128" s="99"/>
      <c r="N128" s="99"/>
      <c r="O128" s="99"/>
      <c r="P128" s="97"/>
      <c r="Q128" s="97"/>
      <c r="R128" s="97"/>
      <c r="S128" s="97"/>
      <c r="T128" s="95"/>
      <c r="U128" s="95"/>
    </row>
    <row r="129" spans="1:21" ht="15" x14ac:dyDescent="0.25">
      <c r="A129" s="155"/>
      <c r="B129" s="155"/>
      <c r="C129" s="270"/>
      <c r="D129" s="271"/>
      <c r="E129" s="261"/>
      <c r="F129" s="272"/>
      <c r="G129" s="275" t="str">
        <f t="shared" si="5"/>
        <v/>
      </c>
      <c r="H129" s="273"/>
      <c r="I129" s="275" t="str">
        <f t="shared" si="4"/>
        <v/>
      </c>
      <c r="J129" s="274" t="s">
        <v>9</v>
      </c>
      <c r="K129" s="260" t="s">
        <v>195</v>
      </c>
      <c r="L129" s="99"/>
      <c r="M129" s="99"/>
      <c r="N129" s="99"/>
      <c r="O129" s="99"/>
      <c r="P129" s="97"/>
      <c r="Q129" s="97"/>
      <c r="R129" s="97"/>
      <c r="S129" s="97"/>
      <c r="T129" s="95"/>
      <c r="U129" s="95"/>
    </row>
    <row r="130" spans="1:21" ht="15" x14ac:dyDescent="0.25">
      <c r="A130" s="155"/>
      <c r="B130" s="155"/>
      <c r="C130" s="270"/>
      <c r="D130" s="271"/>
      <c r="E130" s="261"/>
      <c r="F130" s="272"/>
      <c r="G130" s="275" t="str">
        <f t="shared" si="5"/>
        <v/>
      </c>
      <c r="H130" s="273"/>
      <c r="I130" s="275" t="str">
        <f t="shared" si="4"/>
        <v/>
      </c>
      <c r="J130" s="274" t="s">
        <v>9</v>
      </c>
      <c r="K130" s="260" t="s">
        <v>195</v>
      </c>
      <c r="L130" s="155"/>
      <c r="M130" s="155"/>
      <c r="N130" s="155"/>
      <c r="O130" s="155"/>
      <c r="P130" s="97"/>
      <c r="Q130" s="97"/>
      <c r="R130" s="97"/>
      <c r="S130" s="97"/>
      <c r="T130" s="95"/>
      <c r="U130" s="95"/>
    </row>
    <row r="131" spans="1:21" ht="15" x14ac:dyDescent="0.25">
      <c r="A131" s="155"/>
      <c r="B131" s="155"/>
      <c r="C131" s="270"/>
      <c r="D131" s="271"/>
      <c r="E131" s="261"/>
      <c r="F131" s="272"/>
      <c r="G131" s="275" t="str">
        <f t="shared" si="5"/>
        <v/>
      </c>
      <c r="H131" s="273"/>
      <c r="I131" s="275" t="str">
        <f t="shared" si="4"/>
        <v/>
      </c>
      <c r="J131" s="274" t="s">
        <v>9</v>
      </c>
      <c r="K131" s="260" t="s">
        <v>195</v>
      </c>
      <c r="L131" s="99"/>
      <c r="M131" s="99"/>
      <c r="N131" s="99"/>
      <c r="O131" s="99"/>
      <c r="P131" s="97"/>
      <c r="Q131" s="97"/>
      <c r="R131" s="97"/>
      <c r="S131" s="97"/>
      <c r="T131" s="95"/>
      <c r="U131" s="95"/>
    </row>
    <row r="132" spans="1:21" ht="15" x14ac:dyDescent="0.25">
      <c r="A132" s="155"/>
      <c r="B132" s="155"/>
      <c r="C132" s="270"/>
      <c r="D132" s="271"/>
      <c r="E132" s="261"/>
      <c r="F132" s="272"/>
      <c r="G132" s="275" t="str">
        <f t="shared" si="5"/>
        <v/>
      </c>
      <c r="H132" s="273"/>
      <c r="I132" s="275" t="str">
        <f t="shared" si="4"/>
        <v/>
      </c>
      <c r="J132" s="274" t="s">
        <v>9</v>
      </c>
      <c r="K132" s="260" t="s">
        <v>195</v>
      </c>
      <c r="L132" s="99"/>
      <c r="M132" s="99"/>
      <c r="N132" s="99"/>
      <c r="O132" s="99"/>
      <c r="P132" s="97"/>
      <c r="Q132" s="97"/>
      <c r="R132" s="97"/>
      <c r="S132" s="97"/>
      <c r="T132" s="95"/>
      <c r="U132" s="95"/>
    </row>
    <row r="133" spans="1:21" ht="15" x14ac:dyDescent="0.25">
      <c r="A133" s="155"/>
      <c r="B133" s="155"/>
      <c r="C133" s="270"/>
      <c r="D133" s="271"/>
      <c r="E133" s="261"/>
      <c r="F133" s="272"/>
      <c r="G133" s="275" t="str">
        <f t="shared" si="5"/>
        <v/>
      </c>
      <c r="H133" s="273"/>
      <c r="I133" s="275" t="str">
        <f t="shared" si="4"/>
        <v/>
      </c>
      <c r="J133" s="274" t="s">
        <v>9</v>
      </c>
      <c r="K133" s="260" t="s">
        <v>195</v>
      </c>
      <c r="L133" s="155"/>
      <c r="M133" s="155"/>
      <c r="N133" s="155"/>
      <c r="O133" s="155"/>
      <c r="P133" s="97"/>
      <c r="Q133" s="97"/>
      <c r="R133" s="97"/>
      <c r="S133" s="97"/>
      <c r="T133" s="95"/>
      <c r="U133" s="95"/>
    </row>
    <row r="134" spans="1:21" ht="15" x14ac:dyDescent="0.25">
      <c r="A134" s="155"/>
      <c r="B134" s="155"/>
      <c r="C134" s="270"/>
      <c r="D134" s="271"/>
      <c r="E134" s="261"/>
      <c r="F134" s="272"/>
      <c r="G134" s="275" t="str">
        <f t="shared" si="5"/>
        <v/>
      </c>
      <c r="H134" s="273"/>
      <c r="I134" s="275" t="str">
        <f t="shared" si="4"/>
        <v/>
      </c>
      <c r="J134" s="274" t="s">
        <v>9</v>
      </c>
      <c r="K134" s="260" t="s">
        <v>195</v>
      </c>
      <c r="L134" s="99"/>
      <c r="M134" s="99"/>
      <c r="N134" s="99"/>
      <c r="O134" s="99"/>
      <c r="P134" s="97"/>
      <c r="Q134" s="97"/>
      <c r="R134" s="97"/>
      <c r="S134" s="97"/>
      <c r="T134" s="95"/>
      <c r="U134" s="95"/>
    </row>
    <row r="135" spans="1:21" ht="15" x14ac:dyDescent="0.25">
      <c r="A135" s="155"/>
      <c r="B135" s="155"/>
      <c r="C135" s="234"/>
      <c r="D135" s="234"/>
      <c r="E135" s="234"/>
      <c r="F135" s="234"/>
      <c r="G135" s="234"/>
      <c r="H135" s="234"/>
      <c r="I135" s="234"/>
      <c r="J135" s="234"/>
      <c r="K135" s="235"/>
      <c r="L135" s="155"/>
      <c r="M135" s="155"/>
      <c r="N135" s="155"/>
      <c r="O135" s="155"/>
      <c r="P135" s="97"/>
      <c r="Q135" s="97"/>
      <c r="R135" s="97"/>
      <c r="S135" s="97"/>
      <c r="T135" s="95"/>
      <c r="U135" s="95"/>
    </row>
    <row r="136" spans="1:21" ht="15" x14ac:dyDescent="0.25">
      <c r="A136" s="155"/>
      <c r="B136" s="155"/>
      <c r="C136" s="234"/>
      <c r="D136" s="234"/>
      <c r="E136" s="234"/>
      <c r="F136" s="234"/>
      <c r="G136" s="234"/>
      <c r="H136" s="234"/>
      <c r="I136" s="234"/>
      <c r="J136" s="234"/>
      <c r="K136" s="235"/>
      <c r="L136" s="155"/>
      <c r="M136" s="155"/>
      <c r="N136" s="155"/>
      <c r="O136" s="155"/>
      <c r="P136" s="97"/>
      <c r="Q136" s="97"/>
      <c r="R136" s="97"/>
      <c r="S136" s="97"/>
      <c r="T136" s="95"/>
      <c r="U136" s="95"/>
    </row>
    <row r="137" spans="1:21" ht="15" x14ac:dyDescent="0.25">
      <c r="A137" s="155"/>
      <c r="B137" s="155"/>
      <c r="C137" s="234"/>
      <c r="D137" s="234"/>
      <c r="E137" s="234"/>
      <c r="F137" s="234"/>
      <c r="G137" s="234"/>
      <c r="H137" s="234"/>
      <c r="I137" s="234"/>
      <c r="J137" s="234"/>
      <c r="K137" s="235"/>
      <c r="L137" s="155"/>
      <c r="M137" s="155"/>
      <c r="N137" s="155"/>
      <c r="O137" s="155"/>
      <c r="P137" s="97"/>
      <c r="Q137" s="97"/>
      <c r="R137" s="97"/>
      <c r="S137" s="97"/>
      <c r="T137" s="95"/>
      <c r="U137" s="95"/>
    </row>
    <row r="138" spans="1:21" ht="15" x14ac:dyDescent="0.25">
      <c r="A138" s="95"/>
      <c r="B138" s="95"/>
      <c r="C138" s="236"/>
      <c r="D138" s="236"/>
      <c r="E138" s="236"/>
      <c r="F138" s="236"/>
      <c r="G138" s="236"/>
      <c r="H138" s="236"/>
      <c r="I138" s="236"/>
      <c r="J138" s="236"/>
      <c r="K138" s="237"/>
      <c r="P138" s="95"/>
      <c r="Q138" s="95"/>
      <c r="R138" s="95"/>
      <c r="S138" s="95"/>
      <c r="T138" s="95"/>
      <c r="U138" s="95"/>
    </row>
  </sheetData>
  <sheetProtection algorithmName="SHA-512" hashValue="TVq0iJDwirK2ki8LeN3axGqs17JFSG/WYPhgNWKipexcacdN9AjrmjwmBNG8vag5SKmMGyS1OZYGBoal8M5hfw==" saltValue="ehLisS3ePNfwsb1B71obvA==" spinCount="100000" sheet="1" objects="1" scenarios="1"/>
  <mergeCells count="2">
    <mergeCell ref="M4:O4"/>
    <mergeCell ref="P4:R4"/>
  </mergeCells>
  <conditionalFormatting sqref="K13:K134">
    <cfRule type="expression" dxfId="30" priority="2">
      <formula>ISBLANK(K13)</formula>
    </cfRule>
  </conditionalFormatting>
  <conditionalFormatting sqref="K13:K134">
    <cfRule type="expression" dxfId="29" priority="1">
      <formula>M13="x"</formula>
    </cfRule>
  </conditionalFormatting>
  <dataValidations count="6">
    <dataValidation type="list" allowBlank="1" showInputMessage="1" showErrorMessage="1" errorTitle="Ja oder Nein" error="bitte Ja oder Nein eingeben / auswählen." sqref="J13:J134">
      <formula1>Auswahl_JaNein</formula1>
    </dataValidation>
    <dataValidation type="list" allowBlank="1" showInputMessage="1" showErrorMessage="1" errorTitle="Achtung" error="Bitte wählen Sie eine gültige Treibstoffart aus." sqref="E13:E134">
      <formula1>Auswahl_Treibstoffart</formula1>
    </dataValidation>
    <dataValidation type="date" allowBlank="1" showInputMessage="1" showErrorMessage="1" errorTitle="Datum ungültig" error="Sie können hier nur Rechnugnen eingeben, die im Förderzeitraum ausgestellt wurden." sqref="D13:D134">
      <formula1>44927</formula1>
      <formula2>45107</formula2>
    </dataValidation>
    <dataValidation type="decimal" allowBlank="1" showInputMessage="1" showErrorMessage="1" errorTitle="Betrag" error="Bitte geben Sie einen Betrag (Zahl) ein." sqref="F13:F134">
      <formula1>-1000000000</formula1>
      <formula2>1000000000</formula2>
    </dataValidation>
    <dataValidation type="decimal" allowBlank="1" showInputMessage="1" showErrorMessage="1" errorTitle="Menge" error="Bitte geben Sie die Menge (Zahl) ein." sqref="H13:H134">
      <formula1>-1000000000</formula1>
      <formula2>1000000000</formula2>
    </dataValidation>
    <dataValidation type="list" allowBlank="1" showInputMessage="1" showErrorMessage="1" errorTitle="Ja/Nein" error="Die Eintragung in der Zelle muss &quot;Ja&quot; oder &quot;Nein&quot; sein." sqref="K13:K134">
      <formula1>IF(E13="Diesel",Diesel_Spez,IF(E13="Benzin",Benzin_Spez,Treibstoffspezifikation))</formula1>
    </dataValidation>
  </dataValidations>
  <pageMargins left="0.7" right="0.7" top="0.78740157499999996" bottom="0.78740157499999996" header="0.3" footer="0.3"/>
  <pageSetup paperSize="9" orientation="portrait" r:id="rId1"/>
  <ignoredErrors>
    <ignoredError sqref="M7:O8 P7:R7 P8:R8" formula="1"/>
  </ignoredErrors>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Tabelle9"/>
  <dimension ref="A1:U42"/>
  <sheetViews>
    <sheetView showGridLines="0" zoomScaleNormal="100" workbookViewId="0"/>
  </sheetViews>
  <sheetFormatPr baseColWidth="10" defaultColWidth="10.7109375" defaultRowHeight="15" x14ac:dyDescent="0.25"/>
  <cols>
    <col min="1" max="1" width="3.28515625" style="25" customWidth="1"/>
    <col min="2" max="2" width="57.42578125" style="25" customWidth="1"/>
    <col min="3" max="4" width="19.7109375" style="25" customWidth="1"/>
    <col min="5" max="5" width="1" style="25" customWidth="1"/>
    <col min="6" max="6" width="4.28515625" style="25" customWidth="1"/>
    <col min="7" max="16384" width="10.7109375" style="25"/>
  </cols>
  <sheetData>
    <row r="1" spans="1:21" ht="30" customHeight="1" x14ac:dyDescent="0.5">
      <c r="B1" s="27" t="s">
        <v>0</v>
      </c>
      <c r="C1" s="30"/>
      <c r="D1" s="30"/>
      <c r="E1" s="30"/>
      <c r="F1" s="30"/>
      <c r="G1" s="30"/>
      <c r="H1" s="30"/>
      <c r="I1" s="30"/>
      <c r="J1" s="30"/>
      <c r="K1" s="30"/>
      <c r="L1" s="30"/>
      <c r="M1" s="30"/>
      <c r="N1" s="30"/>
      <c r="O1" s="30"/>
      <c r="P1" s="30"/>
      <c r="Q1" s="30"/>
      <c r="R1" s="30"/>
      <c r="S1" s="30"/>
      <c r="T1" s="30"/>
    </row>
    <row r="2" spans="1:21" ht="18" x14ac:dyDescent="0.35">
      <c r="B2" s="207" t="s">
        <v>70</v>
      </c>
      <c r="C2" s="30"/>
      <c r="D2" s="30"/>
      <c r="E2" s="30"/>
      <c r="F2" s="30"/>
      <c r="G2" s="30"/>
      <c r="H2" s="30"/>
      <c r="I2" s="30"/>
      <c r="J2" s="30"/>
      <c r="K2" s="30"/>
      <c r="L2" s="30"/>
      <c r="M2" s="30"/>
      <c r="N2" s="30"/>
      <c r="O2" s="30"/>
      <c r="P2" s="30"/>
      <c r="Q2" s="30"/>
      <c r="R2" s="30"/>
      <c r="S2" s="30"/>
      <c r="T2" s="30"/>
    </row>
    <row r="3" spans="1:21" ht="16.5" x14ac:dyDescent="0.3">
      <c r="B3" s="30"/>
      <c r="C3" s="30"/>
      <c r="D3" s="30"/>
      <c r="E3" s="30"/>
      <c r="F3" s="30"/>
      <c r="G3" s="30"/>
      <c r="H3" s="30"/>
      <c r="I3" s="30"/>
      <c r="J3" s="79"/>
      <c r="K3" s="79"/>
      <c r="L3" s="30"/>
      <c r="M3" s="30"/>
      <c r="N3" s="30"/>
      <c r="O3" s="163" t="s">
        <v>1</v>
      </c>
      <c r="P3" s="163" t="s">
        <v>216</v>
      </c>
      <c r="Q3" s="30"/>
      <c r="R3" s="30"/>
      <c r="S3" s="30"/>
      <c r="T3" s="30"/>
    </row>
    <row r="4" spans="1:21" x14ac:dyDescent="0.25">
      <c r="A4" s="80"/>
      <c r="B4" s="168"/>
      <c r="C4" s="160" t="s">
        <v>35</v>
      </c>
      <c r="D4" s="160" t="s">
        <v>36</v>
      </c>
      <c r="E4" s="281"/>
      <c r="F4" s="99"/>
      <c r="G4" s="99"/>
      <c r="H4" s="99"/>
      <c r="I4" s="99"/>
      <c r="J4" s="99"/>
      <c r="K4" s="99"/>
      <c r="L4" s="99"/>
      <c r="M4" s="99"/>
      <c r="N4" s="99"/>
      <c r="O4" s="99"/>
      <c r="P4" s="99"/>
      <c r="Q4" s="99"/>
      <c r="R4" s="99"/>
      <c r="S4" s="99"/>
      <c r="T4" s="99"/>
      <c r="U4" s="95"/>
    </row>
    <row r="5" spans="1:21" x14ac:dyDescent="0.25">
      <c r="A5" s="80"/>
      <c r="B5" s="286" t="s">
        <v>71</v>
      </c>
      <c r="C5" s="168"/>
      <c r="D5" s="168"/>
      <c r="E5" s="97"/>
      <c r="F5" s="99"/>
      <c r="G5" s="99"/>
      <c r="H5" s="99"/>
      <c r="I5" s="99"/>
      <c r="J5" s="99"/>
      <c r="K5" s="99"/>
      <c r="L5" s="99"/>
      <c r="M5" s="99"/>
      <c r="N5" s="99"/>
      <c r="O5" s="99"/>
      <c r="P5" s="99"/>
      <c r="Q5" s="99"/>
      <c r="R5" s="99"/>
      <c r="S5" s="99"/>
      <c r="T5" s="99"/>
      <c r="U5" s="95"/>
    </row>
    <row r="6" spans="1:21" x14ac:dyDescent="0.25">
      <c r="A6" s="80"/>
      <c r="B6" s="168"/>
      <c r="C6" s="168"/>
      <c r="D6" s="168"/>
      <c r="E6" s="97"/>
      <c r="F6" s="99"/>
      <c r="G6" s="99"/>
      <c r="H6" s="99"/>
      <c r="I6" s="99"/>
      <c r="J6" s="99"/>
      <c r="K6" s="99"/>
      <c r="L6" s="99"/>
      <c r="M6" s="99"/>
      <c r="N6" s="99"/>
      <c r="O6" s="99"/>
      <c r="P6" s="99"/>
      <c r="Q6" s="99"/>
      <c r="R6" s="99"/>
      <c r="S6" s="99"/>
      <c r="T6" s="99"/>
      <c r="U6" s="95"/>
    </row>
    <row r="7" spans="1:21" ht="15.75" x14ac:dyDescent="0.3">
      <c r="A7" s="80"/>
      <c r="B7" s="168" t="s">
        <v>72</v>
      </c>
      <c r="C7" s="287">
        <f>'3 - Treibstoffe Rechnungen'!M8+'3 - Treibstoffe Rechnungen'!M9</f>
        <v>0</v>
      </c>
      <c r="D7" s="287">
        <f>'3 - Treibstoffe Rechnungen'!M6+'3 - Treibstoffe Rechnungen'!M7</f>
        <v>0</v>
      </c>
      <c r="E7" s="282"/>
      <c r="F7" s="33" t="s">
        <v>4</v>
      </c>
      <c r="G7" s="109" t="s">
        <v>73</v>
      </c>
      <c r="H7" s="136"/>
      <c r="I7" s="136"/>
      <c r="J7" s="136"/>
      <c r="K7" s="136"/>
      <c r="L7" s="110"/>
      <c r="M7" s="99"/>
      <c r="N7" s="99"/>
      <c r="O7" s="99"/>
      <c r="P7" s="99"/>
      <c r="Q7" s="99"/>
      <c r="R7" s="99"/>
      <c r="S7" s="99"/>
      <c r="T7" s="99"/>
      <c r="U7" s="95"/>
    </row>
    <row r="8" spans="1:21" ht="15.75" x14ac:dyDescent="0.3">
      <c r="A8" s="80"/>
      <c r="B8" s="168" t="s">
        <v>252</v>
      </c>
      <c r="C8" s="287">
        <f>'3 - Treibstoffe Rechnungen'!O8+'3 - Treibstoffe Rechnungen'!O9</f>
        <v>0</v>
      </c>
      <c r="D8" s="287">
        <f>'3 - Treibstoffe Rechnungen'!O6+'3 - Treibstoffe Rechnungen'!O7</f>
        <v>0</v>
      </c>
      <c r="E8" s="282"/>
      <c r="F8" s="162"/>
      <c r="G8" s="99"/>
      <c r="H8" s="99"/>
      <c r="I8" s="99"/>
      <c r="J8" s="99"/>
      <c r="K8" s="99"/>
      <c r="L8" s="99"/>
      <c r="M8" s="99"/>
      <c r="N8" s="99"/>
      <c r="O8" s="99"/>
      <c r="P8" s="99"/>
      <c r="Q8" s="99"/>
      <c r="R8" s="99"/>
      <c r="S8" s="99"/>
      <c r="T8" s="99"/>
      <c r="U8" s="95"/>
    </row>
    <row r="9" spans="1:21" ht="15.75" x14ac:dyDescent="0.3">
      <c r="A9" s="80"/>
      <c r="B9" s="168"/>
      <c r="C9" s="287"/>
      <c r="D9" s="287"/>
      <c r="E9" s="282"/>
      <c r="F9" s="162"/>
      <c r="G9" s="99"/>
      <c r="H9" s="99"/>
      <c r="I9" s="99"/>
      <c r="J9" s="99"/>
      <c r="K9" s="99"/>
      <c r="L9" s="99"/>
      <c r="M9" s="99"/>
      <c r="N9" s="99"/>
      <c r="O9" s="99"/>
      <c r="P9" s="99"/>
      <c r="Q9" s="99"/>
      <c r="R9" s="99"/>
      <c r="S9" s="99"/>
      <c r="T9" s="99"/>
      <c r="U9" s="95"/>
    </row>
    <row r="10" spans="1:21" ht="15.75" x14ac:dyDescent="0.3">
      <c r="A10" s="80"/>
      <c r="B10" s="286" t="s">
        <v>74</v>
      </c>
      <c r="C10" s="287"/>
      <c r="D10" s="287"/>
      <c r="E10" s="282"/>
      <c r="F10" s="162"/>
      <c r="G10" s="99"/>
      <c r="H10" s="99"/>
      <c r="I10" s="99"/>
      <c r="J10" s="99"/>
      <c r="K10" s="99"/>
      <c r="L10" s="99"/>
      <c r="M10" s="99"/>
      <c r="N10" s="99"/>
      <c r="O10" s="99"/>
      <c r="P10" s="99"/>
      <c r="Q10" s="99"/>
      <c r="R10" s="99"/>
      <c r="S10" s="99"/>
      <c r="T10" s="99"/>
      <c r="U10" s="95"/>
    </row>
    <row r="11" spans="1:21" ht="15.75" x14ac:dyDescent="0.3">
      <c r="A11" s="80"/>
      <c r="B11" s="168"/>
      <c r="C11" s="287"/>
      <c r="D11" s="287"/>
      <c r="E11" s="282"/>
      <c r="F11" s="162"/>
      <c r="G11" s="99"/>
      <c r="H11" s="99"/>
      <c r="I11" s="99"/>
      <c r="J11" s="99"/>
      <c r="K11" s="99"/>
      <c r="L11" s="99"/>
      <c r="M11" s="99"/>
      <c r="N11" s="99"/>
      <c r="O11" s="99"/>
      <c r="P11" s="99"/>
      <c r="Q11" s="99"/>
      <c r="R11" s="99"/>
      <c r="S11" s="99"/>
      <c r="T11" s="99"/>
      <c r="U11" s="95"/>
    </row>
    <row r="12" spans="1:21" ht="15.75" x14ac:dyDescent="0.3">
      <c r="A12" s="80"/>
      <c r="B12" s="168" t="s">
        <v>72</v>
      </c>
      <c r="C12" s="287">
        <f>'3 - Treibstoffe Rechnungen'!P8+'3 - Treibstoffe Rechnungen'!P9</f>
        <v>0</v>
      </c>
      <c r="D12" s="287">
        <f>'3 - Treibstoffe Rechnungen'!P6+'3 - Treibstoffe Rechnungen'!P7</f>
        <v>0</v>
      </c>
      <c r="E12" s="282"/>
      <c r="F12" s="33"/>
      <c r="G12" s="109"/>
      <c r="H12" s="136"/>
      <c r="I12" s="136"/>
      <c r="J12" s="136"/>
      <c r="K12" s="136"/>
      <c r="L12" s="110"/>
      <c r="M12" s="99"/>
      <c r="N12" s="99"/>
      <c r="O12" s="99"/>
      <c r="P12" s="99"/>
      <c r="Q12" s="99"/>
      <c r="R12" s="99"/>
      <c r="S12" s="99"/>
      <c r="T12" s="99"/>
      <c r="U12" s="95"/>
    </row>
    <row r="13" spans="1:21" ht="15.75" x14ac:dyDescent="0.3">
      <c r="A13" s="80"/>
      <c r="B13" s="168" t="s">
        <v>253</v>
      </c>
      <c r="C13" s="287">
        <f>'3 - Treibstoffe Rechnungen'!Q8+'3 - Treibstoffe Rechnungen'!Q9</f>
        <v>0</v>
      </c>
      <c r="D13" s="287">
        <f>'3 - Treibstoffe Rechnungen'!Q6+'3 - Treibstoffe Rechnungen'!Q7</f>
        <v>0</v>
      </c>
      <c r="E13" s="282"/>
      <c r="F13" s="162"/>
      <c r="G13" s="99"/>
      <c r="H13" s="99"/>
      <c r="I13" s="99"/>
      <c r="J13" s="99"/>
      <c r="K13" s="99"/>
      <c r="L13" s="99"/>
      <c r="M13" s="99"/>
      <c r="N13" s="99"/>
      <c r="O13" s="99"/>
      <c r="P13" s="99"/>
      <c r="Q13" s="99"/>
      <c r="R13" s="99"/>
      <c r="S13" s="99"/>
      <c r="T13" s="99"/>
      <c r="U13" s="95"/>
    </row>
    <row r="14" spans="1:21" ht="15.75" x14ac:dyDescent="0.3">
      <c r="A14" s="80"/>
      <c r="B14" s="168"/>
      <c r="C14" s="287"/>
      <c r="D14" s="287"/>
      <c r="E14" s="282"/>
      <c r="F14" s="162"/>
      <c r="G14" s="99"/>
      <c r="H14" s="99"/>
      <c r="I14" s="99"/>
      <c r="J14" s="99"/>
      <c r="K14" s="99"/>
      <c r="L14" s="99"/>
      <c r="M14" s="99"/>
      <c r="N14" s="99"/>
      <c r="O14" s="99"/>
      <c r="P14" s="99"/>
      <c r="Q14" s="99"/>
      <c r="R14" s="99"/>
      <c r="S14" s="99"/>
      <c r="T14" s="99"/>
      <c r="U14" s="95"/>
    </row>
    <row r="15" spans="1:21" ht="15.75" x14ac:dyDescent="0.3">
      <c r="A15" s="80"/>
      <c r="B15" s="168" t="s">
        <v>75</v>
      </c>
      <c r="C15" s="287">
        <f>C7+C12</f>
        <v>0</v>
      </c>
      <c r="D15" s="287">
        <f>D7+D12</f>
        <v>0</v>
      </c>
      <c r="E15" s="282"/>
      <c r="F15" s="162"/>
      <c r="G15" s="99"/>
      <c r="H15" s="99"/>
      <c r="I15" s="99"/>
      <c r="J15" s="99"/>
      <c r="K15" s="99"/>
      <c r="L15" s="99"/>
      <c r="M15" s="99"/>
      <c r="N15" s="99"/>
      <c r="O15" s="99"/>
      <c r="P15" s="99"/>
      <c r="Q15" s="99"/>
      <c r="R15" s="99"/>
      <c r="S15" s="99"/>
      <c r="T15" s="99"/>
      <c r="U15" s="95"/>
    </row>
    <row r="16" spans="1:21" ht="15.75" x14ac:dyDescent="0.3">
      <c r="A16" s="80"/>
      <c r="B16" s="168" t="s">
        <v>76</v>
      </c>
      <c r="C16" s="287">
        <f>C8+C13</f>
        <v>0</v>
      </c>
      <c r="D16" s="287">
        <f>D8+D13</f>
        <v>0</v>
      </c>
      <c r="E16" s="282"/>
      <c r="F16" s="162"/>
      <c r="G16" s="99"/>
      <c r="H16" s="99"/>
      <c r="I16" s="99"/>
      <c r="J16" s="99"/>
      <c r="K16" s="99"/>
      <c r="L16" s="99"/>
      <c r="M16" s="99"/>
      <c r="N16" s="99"/>
      <c r="O16" s="99"/>
      <c r="P16" s="99"/>
      <c r="Q16" s="99"/>
      <c r="R16" s="99"/>
      <c r="S16" s="99"/>
      <c r="T16" s="99"/>
      <c r="U16" s="95"/>
    </row>
    <row r="17" spans="1:21" ht="15.75" x14ac:dyDescent="0.3">
      <c r="A17" s="80"/>
      <c r="B17" s="168"/>
      <c r="C17" s="287"/>
      <c r="D17" s="287"/>
      <c r="E17" s="282"/>
      <c r="F17" s="162"/>
      <c r="G17" s="99"/>
      <c r="H17" s="99"/>
      <c r="I17" s="99"/>
      <c r="J17" s="99"/>
      <c r="K17" s="99"/>
      <c r="L17" s="99"/>
      <c r="M17" s="99"/>
      <c r="N17" s="99"/>
      <c r="O17" s="99"/>
      <c r="P17" s="99"/>
      <c r="Q17" s="99"/>
      <c r="R17" s="99"/>
      <c r="S17" s="99"/>
      <c r="T17" s="99"/>
      <c r="U17" s="95"/>
    </row>
    <row r="18" spans="1:21" ht="15.75" x14ac:dyDescent="0.3">
      <c r="A18" s="80"/>
      <c r="B18" s="168" t="s">
        <v>77</v>
      </c>
      <c r="C18" s="287">
        <f>IFERROR(C16/C15,0)</f>
        <v>0</v>
      </c>
      <c r="D18" s="287">
        <f>IFERROR(D16/D15,0)</f>
        <v>0</v>
      </c>
      <c r="E18" s="282"/>
      <c r="F18" s="33" t="s">
        <v>4</v>
      </c>
      <c r="G18" s="109" t="s">
        <v>78</v>
      </c>
      <c r="H18" s="136"/>
      <c r="I18" s="136"/>
      <c r="J18" s="136"/>
      <c r="K18" s="136"/>
      <c r="L18" s="110"/>
      <c r="M18" s="110"/>
      <c r="N18" s="99"/>
      <c r="O18" s="99"/>
      <c r="P18" s="99"/>
      <c r="Q18" s="99"/>
      <c r="R18" s="99"/>
      <c r="S18" s="99"/>
      <c r="T18" s="99"/>
      <c r="U18" s="95"/>
    </row>
    <row r="19" spans="1:21" ht="15.75" hidden="1" x14ac:dyDescent="0.3">
      <c r="A19" s="80"/>
      <c r="B19" s="168"/>
      <c r="C19" s="287"/>
      <c r="D19" s="287"/>
      <c r="E19" s="282"/>
      <c r="F19" s="33"/>
      <c r="G19" s="109"/>
      <c r="H19" s="136"/>
      <c r="I19" s="136"/>
      <c r="J19" s="136"/>
      <c r="K19" s="99"/>
      <c r="L19" s="99"/>
      <c r="M19" s="99"/>
      <c r="N19" s="99"/>
      <c r="O19" s="99"/>
      <c r="P19" s="99"/>
      <c r="Q19" s="99"/>
      <c r="R19" s="99"/>
      <c r="S19" s="99"/>
      <c r="T19" s="99"/>
      <c r="U19" s="95"/>
    </row>
    <row r="20" spans="1:21" ht="15.75" hidden="1" x14ac:dyDescent="0.3">
      <c r="A20" s="80"/>
      <c r="B20" s="287" t="s">
        <v>223</v>
      </c>
      <c r="C20" s="287">
        <f>IFERROR((('3 - Treibstoffe Rechnungen'!O8/'3 - Treibstoffe Rechnungen'!M8))-(par_TS_MöstB*1.2),0)</f>
        <v>0</v>
      </c>
      <c r="D20" s="287">
        <f>IFERROR((('3 - Treibstoffe Rechnungen'!O6/'3 - Treibstoffe Rechnungen'!M6))-(par_TS_MöstD*1.2),0)</f>
        <v>0</v>
      </c>
      <c r="E20" s="282"/>
      <c r="F20" s="33" t="s">
        <v>4</v>
      </c>
      <c r="G20" s="109" t="s">
        <v>222</v>
      </c>
      <c r="H20" s="136"/>
      <c r="I20" s="136"/>
      <c r="J20" s="136"/>
      <c r="K20" s="99"/>
      <c r="L20" s="99"/>
      <c r="M20" s="99"/>
      <c r="N20" s="99"/>
      <c r="O20" s="99"/>
      <c r="P20" s="99"/>
      <c r="Q20" s="99"/>
      <c r="R20" s="99"/>
      <c r="S20" s="99"/>
      <c r="T20" s="99"/>
      <c r="U20" s="95"/>
    </row>
    <row r="21" spans="1:21" ht="15.75" hidden="1" x14ac:dyDescent="0.3">
      <c r="A21" s="80"/>
      <c r="B21" s="287" t="s">
        <v>224</v>
      </c>
      <c r="C21" s="287">
        <f>IFERROR((('3 - Treibstoffe Rechnungen'!R8/'3 - Treibstoffe Rechnungen'!P8)/1.2)-par_TS_MöstB,0)</f>
        <v>0</v>
      </c>
      <c r="D21" s="287">
        <f>IFERROR((('3 - Treibstoffe Rechnungen'!R6/'3 - Treibstoffe Rechnungen'!P6)/1.2)-par_TS_MöstD,0)</f>
        <v>0</v>
      </c>
      <c r="E21" s="282"/>
      <c r="F21" s="33" t="s">
        <v>4</v>
      </c>
      <c r="G21" s="109" t="s">
        <v>221</v>
      </c>
      <c r="H21" s="136"/>
      <c r="I21" s="136"/>
      <c r="J21" s="136"/>
      <c r="K21" s="99"/>
      <c r="L21" s="99"/>
      <c r="M21" s="99"/>
      <c r="N21" s="99"/>
      <c r="O21" s="99"/>
      <c r="P21" s="99"/>
      <c r="Q21" s="99"/>
      <c r="R21" s="99"/>
      <c r="S21" s="99"/>
      <c r="T21" s="99"/>
      <c r="U21" s="95"/>
    </row>
    <row r="22" spans="1:21" hidden="1" x14ac:dyDescent="0.25">
      <c r="A22" s="80"/>
      <c r="B22" s="287" t="s">
        <v>225</v>
      </c>
      <c r="C22" s="287">
        <f>IFERROR((('3 - Treibstoffe Rechnungen'!O9/'3 - Treibstoffe Rechnungen'!M9))-(par_TS_MöstB_E0*1.2),0)</f>
        <v>0</v>
      </c>
      <c r="D22" s="287">
        <f>IFERROR((('3 - Treibstoffe Rechnungen'!O7/'3 - Treibstoffe Rechnungen'!M7))-(par_TS_MöstD_B0*1.2),0)</f>
        <v>0</v>
      </c>
      <c r="E22" s="282"/>
      <c r="F22" s="80"/>
      <c r="G22" s="80"/>
      <c r="H22" s="136"/>
      <c r="I22" s="136"/>
      <c r="J22" s="136"/>
      <c r="K22" s="99"/>
      <c r="L22" s="99"/>
      <c r="M22" s="99"/>
      <c r="N22" s="99"/>
      <c r="O22" s="99"/>
      <c r="P22" s="99"/>
      <c r="Q22" s="99"/>
      <c r="R22" s="99"/>
      <c r="S22" s="99"/>
      <c r="T22" s="99"/>
      <c r="U22" s="95"/>
    </row>
    <row r="23" spans="1:21" hidden="1" x14ac:dyDescent="0.25">
      <c r="A23" s="80"/>
      <c r="B23" s="287" t="s">
        <v>226</v>
      </c>
      <c r="C23" s="287">
        <f>IFERROR((('3 - Treibstoffe Rechnungen'!R9/'3 - Treibstoffe Rechnungen'!P9)/1.2)-par_TS_MöstB_E0,0)</f>
        <v>0</v>
      </c>
      <c r="D23" s="287">
        <f>IFERROR((('3 - Treibstoffe Rechnungen'!R7/'3 - Treibstoffe Rechnungen'!P7)/1.2)-par_TS_MöstD_B0,0)</f>
        <v>0</v>
      </c>
      <c r="E23" s="282"/>
      <c r="F23" s="80"/>
      <c r="G23" s="80"/>
      <c r="H23" s="136"/>
      <c r="I23" s="136"/>
      <c r="J23" s="136"/>
      <c r="K23" s="99"/>
      <c r="L23" s="99"/>
      <c r="M23" s="99"/>
      <c r="N23" s="99"/>
      <c r="O23" s="99"/>
      <c r="P23" s="99"/>
      <c r="Q23" s="99"/>
      <c r="R23" s="99"/>
      <c r="S23" s="99"/>
      <c r="T23" s="99"/>
      <c r="U23" s="95"/>
    </row>
    <row r="24" spans="1:21" ht="15.75" hidden="1" x14ac:dyDescent="0.3">
      <c r="A24" s="80"/>
      <c r="B24" s="168"/>
      <c r="C24" s="287"/>
      <c r="D24" s="287"/>
      <c r="E24" s="282"/>
      <c r="F24" s="33"/>
      <c r="G24" s="109"/>
      <c r="H24" s="136"/>
      <c r="I24" s="136"/>
      <c r="J24" s="136"/>
      <c r="K24" s="99"/>
      <c r="L24" s="99"/>
      <c r="M24" s="99"/>
      <c r="N24" s="99"/>
      <c r="O24" s="99"/>
      <c r="P24" s="99"/>
      <c r="Q24" s="99"/>
      <c r="R24" s="99"/>
      <c r="S24" s="99"/>
      <c r="T24" s="99"/>
      <c r="U24" s="95"/>
    </row>
    <row r="25" spans="1:21" ht="28.9" customHeight="1" x14ac:dyDescent="0.25">
      <c r="A25" s="80"/>
      <c r="B25" s="288" t="s">
        <v>79</v>
      </c>
      <c r="C25" s="289">
        <f>IFERROR(('3 - Treibstoffe'!C20*('3 - Treibstoffe Rechnungen'!M8/'3 - Treibstoffe'!$C$15)+'3 - Treibstoffe'!C21*('3 - Treibstoffe Rechnungen'!P8/'3 - Treibstoffe'!$C$15)+'3 - Treibstoffe'!C22*('3 - Treibstoffe Rechnungen'!M9/'3 - Treibstoffe'!$C$15)+'3 - Treibstoffe'!C23*('3 - Treibstoffe Rechnungen'!P9/'3 - Treibstoffe'!$C$15)),0)</f>
        <v>0</v>
      </c>
      <c r="D25" s="289">
        <f>IFERROR(('3 - Treibstoffe'!D20*('3 - Treibstoffe Rechnungen'!M6/'3 - Treibstoffe'!$D$15)+'3 - Treibstoffe'!D21*('3 - Treibstoffe Rechnungen'!P6/'3 - Treibstoffe'!$D$15)+'3 - Treibstoffe'!D22*('3 - Treibstoffe Rechnungen'!M7/'3 - Treibstoffe'!$D$15)+'3 - Treibstoffe'!D23*('3 - Treibstoffe Rechnungen'!P7/'3 - Treibstoffe'!$D$15)),0)</f>
        <v>0</v>
      </c>
      <c r="E25" s="283"/>
      <c r="F25" s="74" t="s">
        <v>4</v>
      </c>
      <c r="G25" s="300" t="s">
        <v>215</v>
      </c>
      <c r="H25" s="300"/>
      <c r="I25" s="300"/>
      <c r="J25" s="300"/>
      <c r="K25" s="300"/>
      <c r="L25" s="300"/>
      <c r="M25" s="300"/>
      <c r="N25" s="300"/>
      <c r="O25" s="300"/>
      <c r="P25" s="300"/>
      <c r="Q25" s="300"/>
      <c r="R25" s="300"/>
      <c r="S25" s="300"/>
      <c r="T25" s="300"/>
      <c r="U25" s="95"/>
    </row>
    <row r="26" spans="1:21" ht="15.75" x14ac:dyDescent="0.3">
      <c r="A26" s="80"/>
      <c r="B26" s="168"/>
      <c r="C26" s="287"/>
      <c r="D26" s="287"/>
      <c r="E26" s="282"/>
      <c r="F26" s="162"/>
      <c r="G26" s="99"/>
      <c r="H26" s="99"/>
      <c r="I26" s="99"/>
      <c r="J26" s="99"/>
      <c r="K26" s="99"/>
      <c r="L26" s="99"/>
      <c r="M26" s="99"/>
      <c r="N26" s="99"/>
      <c r="O26" s="99"/>
      <c r="P26" s="99"/>
      <c r="Q26" s="99"/>
      <c r="R26" s="99"/>
      <c r="S26" s="99"/>
      <c r="T26" s="99"/>
      <c r="U26" s="95"/>
    </row>
    <row r="27" spans="1:21" ht="15.75" x14ac:dyDescent="0.3">
      <c r="A27" s="80"/>
      <c r="B27" s="168"/>
      <c r="C27" s="287"/>
      <c r="D27" s="287"/>
      <c r="E27" s="282"/>
      <c r="F27" s="162"/>
      <c r="G27" s="99"/>
      <c r="H27" s="99"/>
      <c r="I27" s="99"/>
      <c r="J27" s="99"/>
      <c r="K27" s="99"/>
      <c r="L27" s="99"/>
      <c r="M27" s="99"/>
      <c r="N27" s="99"/>
      <c r="O27" s="99"/>
      <c r="P27" s="99"/>
      <c r="Q27" s="99"/>
      <c r="R27" s="99"/>
      <c r="S27" s="99"/>
      <c r="T27" s="99"/>
      <c r="U27" s="95"/>
    </row>
    <row r="28" spans="1:21" ht="15.75" x14ac:dyDescent="0.3">
      <c r="A28" s="80"/>
      <c r="B28" s="290" t="s">
        <v>80</v>
      </c>
      <c r="C28" s="296" t="str">
        <f>IF((C15+D15)&gt;0,(C15+D15),"0,0000")</f>
        <v>0,0000</v>
      </c>
      <c r="D28" s="297"/>
      <c r="E28" s="284"/>
      <c r="F28" s="33" t="s">
        <v>4</v>
      </c>
      <c r="G28" s="109" t="s">
        <v>248</v>
      </c>
      <c r="H28" s="99"/>
      <c r="I28" s="99"/>
      <c r="J28" s="99"/>
      <c r="K28" s="99"/>
      <c r="L28" s="99"/>
      <c r="M28" s="99"/>
      <c r="N28" s="99"/>
      <c r="O28" s="99"/>
      <c r="P28" s="99"/>
      <c r="Q28" s="99"/>
      <c r="R28" s="99"/>
      <c r="S28" s="99"/>
      <c r="T28" s="99"/>
      <c r="U28" s="95"/>
    </row>
    <row r="29" spans="1:21" ht="15.75" x14ac:dyDescent="0.3">
      <c r="A29" s="80"/>
      <c r="B29" s="291" t="s">
        <v>62</v>
      </c>
      <c r="C29" s="298" t="str">
        <f>IFERROR(MAX(ROUND((((D25*D15)+(C25*C15))/C28),4),0),"0,0000")</f>
        <v>0,0000</v>
      </c>
      <c r="D29" s="299"/>
      <c r="E29" s="285"/>
      <c r="F29" s="33" t="s">
        <v>4</v>
      </c>
      <c r="G29" s="109" t="s">
        <v>81</v>
      </c>
      <c r="H29" s="99"/>
      <c r="I29" s="99"/>
      <c r="J29" s="99"/>
      <c r="K29" s="99"/>
      <c r="L29" s="99"/>
      <c r="M29" s="99"/>
      <c r="N29" s="99"/>
      <c r="O29" s="99"/>
      <c r="P29" s="99"/>
      <c r="Q29" s="99"/>
      <c r="R29" s="99"/>
      <c r="S29" s="99"/>
      <c r="T29" s="99"/>
      <c r="U29" s="95"/>
    </row>
    <row r="30" spans="1:21" x14ac:dyDescent="0.25">
      <c r="A30" s="80"/>
      <c r="B30" s="97"/>
      <c r="C30" s="282"/>
      <c r="D30" s="282"/>
      <c r="E30" s="282"/>
      <c r="F30" s="99"/>
      <c r="G30" s="99"/>
      <c r="H30" s="99"/>
      <c r="I30" s="99"/>
      <c r="J30" s="99"/>
      <c r="K30" s="99"/>
      <c r="L30" s="99"/>
      <c r="M30" s="99"/>
      <c r="N30" s="99"/>
      <c r="O30" s="99"/>
      <c r="P30" s="99"/>
      <c r="Q30" s="99"/>
      <c r="R30" s="99"/>
      <c r="S30" s="99"/>
      <c r="T30" s="99"/>
      <c r="U30" s="95"/>
    </row>
    <row r="31" spans="1:21" x14ac:dyDescent="0.25">
      <c r="A31" s="80"/>
      <c r="B31" s="97"/>
      <c r="C31" s="97"/>
      <c r="D31" s="97"/>
      <c r="E31" s="97"/>
      <c r="F31" s="99"/>
      <c r="G31" s="99"/>
      <c r="H31" s="99"/>
      <c r="I31" s="99"/>
      <c r="J31" s="99"/>
      <c r="K31" s="99"/>
      <c r="L31" s="99"/>
      <c r="M31" s="99"/>
      <c r="N31" s="99"/>
      <c r="O31" s="99"/>
      <c r="P31" s="99"/>
      <c r="Q31" s="99"/>
      <c r="R31" s="99"/>
      <c r="S31" s="99"/>
      <c r="T31" s="99"/>
      <c r="U31" s="95"/>
    </row>
    <row r="32" spans="1:21" x14ac:dyDescent="0.25">
      <c r="A32" s="231"/>
      <c r="B32" s="97"/>
      <c r="C32" s="97"/>
      <c r="D32" s="97"/>
      <c r="E32" s="97"/>
      <c r="F32" s="99"/>
      <c r="G32" s="99"/>
      <c r="H32" s="99"/>
      <c r="I32" s="99"/>
      <c r="J32" s="99"/>
      <c r="K32" s="99"/>
      <c r="L32" s="99"/>
      <c r="M32" s="99"/>
      <c r="N32" s="99"/>
      <c r="O32" s="99"/>
      <c r="P32" s="99"/>
      <c r="Q32" s="99"/>
      <c r="R32" s="99"/>
      <c r="S32" s="99"/>
      <c r="T32" s="99"/>
      <c r="U32" s="95"/>
    </row>
    <row r="33" spans="1:21" x14ac:dyDescent="0.25">
      <c r="A33" s="80"/>
      <c r="B33" s="97"/>
      <c r="C33" s="97"/>
      <c r="D33" s="97"/>
      <c r="E33" s="97"/>
      <c r="F33" s="99"/>
      <c r="G33" s="99"/>
      <c r="H33" s="99"/>
      <c r="I33" s="99"/>
      <c r="J33" s="99"/>
      <c r="K33" s="99"/>
      <c r="L33" s="99"/>
      <c r="M33" s="99"/>
      <c r="N33" s="99"/>
      <c r="O33" s="99"/>
      <c r="P33" s="99"/>
      <c r="Q33" s="99"/>
      <c r="R33" s="99"/>
      <c r="S33" s="99"/>
      <c r="T33" s="99"/>
      <c r="U33" s="95"/>
    </row>
    <row r="34" spans="1:21" x14ac:dyDescent="0.25">
      <c r="A34" s="80"/>
      <c r="B34" s="97"/>
      <c r="C34" s="97"/>
      <c r="D34" s="97"/>
      <c r="E34" s="97"/>
      <c r="F34" s="99"/>
      <c r="G34" s="99"/>
      <c r="H34" s="99"/>
      <c r="I34" s="99"/>
      <c r="J34" s="99"/>
      <c r="K34" s="99"/>
      <c r="L34" s="99"/>
      <c r="M34" s="99"/>
      <c r="N34" s="99"/>
      <c r="O34" s="99"/>
      <c r="P34" s="99"/>
      <c r="Q34" s="99"/>
      <c r="R34" s="99"/>
      <c r="S34" s="99"/>
      <c r="T34" s="99"/>
      <c r="U34" s="95"/>
    </row>
    <row r="35" spans="1:21" x14ac:dyDescent="0.25">
      <c r="A35" s="80"/>
      <c r="B35" s="97"/>
      <c r="C35" s="97"/>
      <c r="D35" s="97"/>
      <c r="E35" s="97"/>
      <c r="F35" s="99"/>
      <c r="G35" s="99"/>
      <c r="H35" s="99"/>
      <c r="I35" s="99"/>
      <c r="J35" s="99"/>
      <c r="K35" s="99"/>
      <c r="L35" s="99"/>
      <c r="M35" s="99"/>
      <c r="N35" s="99"/>
      <c r="O35" s="99"/>
      <c r="P35" s="99"/>
      <c r="Q35" s="99"/>
      <c r="R35" s="99"/>
      <c r="S35" s="99"/>
      <c r="T35" s="99"/>
      <c r="U35" s="95"/>
    </row>
    <row r="36" spans="1:21" x14ac:dyDescent="0.25">
      <c r="A36" s="80"/>
      <c r="B36" s="97"/>
      <c r="C36" s="97"/>
      <c r="D36" s="97"/>
      <c r="E36" s="97"/>
      <c r="F36" s="99"/>
      <c r="G36" s="99"/>
      <c r="H36" s="99"/>
      <c r="I36" s="99"/>
      <c r="J36" s="99"/>
      <c r="K36" s="99"/>
      <c r="L36" s="99"/>
      <c r="M36" s="99"/>
      <c r="N36" s="99"/>
      <c r="O36" s="99"/>
      <c r="P36" s="99"/>
      <c r="Q36" s="99"/>
      <c r="R36" s="99"/>
      <c r="S36" s="99"/>
      <c r="T36" s="99"/>
      <c r="U36" s="95"/>
    </row>
    <row r="37" spans="1:21" x14ac:dyDescent="0.25">
      <c r="A37" s="80"/>
      <c r="B37" s="97"/>
      <c r="C37" s="97"/>
      <c r="D37" s="97"/>
      <c r="E37" s="97"/>
      <c r="F37" s="99"/>
      <c r="G37" s="99"/>
      <c r="H37" s="99"/>
      <c r="I37" s="99"/>
      <c r="J37" s="99"/>
      <c r="K37" s="99"/>
      <c r="L37" s="99"/>
      <c r="M37" s="99"/>
      <c r="N37" s="99"/>
      <c r="O37" s="99"/>
      <c r="P37" s="99"/>
      <c r="Q37" s="99"/>
      <c r="R37" s="99"/>
      <c r="S37" s="99"/>
      <c r="T37" s="99"/>
      <c r="U37" s="95"/>
    </row>
    <row r="38" spans="1:21" x14ac:dyDescent="0.25">
      <c r="A38" s="80"/>
      <c r="B38" s="97"/>
      <c r="C38" s="97"/>
      <c r="D38" s="97"/>
      <c r="E38" s="97"/>
      <c r="F38" s="99"/>
      <c r="G38" s="99"/>
      <c r="H38" s="99"/>
      <c r="I38" s="99"/>
      <c r="J38" s="99"/>
      <c r="K38" s="99"/>
      <c r="L38" s="99"/>
      <c r="M38" s="99"/>
      <c r="N38" s="99"/>
      <c r="O38" s="99"/>
      <c r="P38" s="99"/>
      <c r="Q38" s="99"/>
      <c r="R38" s="99"/>
      <c r="S38" s="99"/>
      <c r="T38" s="99"/>
      <c r="U38" s="95"/>
    </row>
    <row r="39" spans="1:21" x14ac:dyDescent="0.25">
      <c r="A39" s="80"/>
      <c r="B39" s="97"/>
      <c r="C39" s="97"/>
      <c r="D39" s="97"/>
      <c r="E39" s="97"/>
      <c r="F39" s="99"/>
      <c r="G39" s="99"/>
      <c r="H39" s="99"/>
      <c r="I39" s="99"/>
      <c r="J39" s="99"/>
      <c r="K39" s="99"/>
      <c r="L39" s="99"/>
      <c r="M39" s="99"/>
      <c r="N39" s="99"/>
      <c r="O39" s="99"/>
      <c r="P39" s="99"/>
      <c r="Q39" s="99"/>
      <c r="R39" s="99"/>
      <c r="S39" s="99"/>
      <c r="T39" s="99"/>
      <c r="U39" s="95"/>
    </row>
    <row r="40" spans="1:21" ht="26.65" customHeight="1" x14ac:dyDescent="0.25">
      <c r="A40" s="80"/>
      <c r="B40" s="97"/>
      <c r="C40" s="97"/>
      <c r="D40" s="97"/>
      <c r="E40" s="97"/>
      <c r="F40" s="99"/>
      <c r="G40" s="99"/>
      <c r="H40" s="99"/>
      <c r="I40" s="99"/>
      <c r="J40" s="99"/>
      <c r="K40" s="99"/>
      <c r="L40" s="99"/>
      <c r="M40" s="99"/>
      <c r="N40" s="99"/>
      <c r="O40" s="99"/>
      <c r="P40" s="99"/>
      <c r="Q40" s="99"/>
      <c r="R40" s="99"/>
      <c r="S40" s="99"/>
      <c r="T40" s="99"/>
      <c r="U40" s="95"/>
    </row>
    <row r="41" spans="1:21" x14ac:dyDescent="0.25">
      <c r="A41" s="80"/>
      <c r="B41" s="99"/>
      <c r="C41" s="99"/>
      <c r="D41" s="99"/>
      <c r="E41" s="99"/>
      <c r="F41" s="99"/>
      <c r="G41" s="99"/>
      <c r="H41" s="99"/>
      <c r="I41" s="99"/>
      <c r="J41" s="99"/>
      <c r="K41" s="99"/>
      <c r="L41" s="99"/>
      <c r="M41" s="99"/>
      <c r="N41" s="99"/>
      <c r="O41" s="99"/>
      <c r="P41" s="99"/>
      <c r="Q41" s="99"/>
      <c r="R41" s="99"/>
      <c r="S41" s="99"/>
      <c r="T41" s="99"/>
      <c r="U41" s="95"/>
    </row>
    <row r="42" spans="1:21" x14ac:dyDescent="0.25">
      <c r="F42" s="30"/>
      <c r="G42" s="30"/>
      <c r="H42" s="30"/>
      <c r="I42" s="30"/>
      <c r="J42" s="30"/>
      <c r="K42" s="30"/>
      <c r="L42" s="30"/>
      <c r="M42" s="30"/>
      <c r="N42" s="30"/>
      <c r="O42" s="30"/>
      <c r="P42" s="30"/>
      <c r="Q42" s="30"/>
      <c r="R42" s="30"/>
      <c r="S42" s="30"/>
      <c r="T42" s="30"/>
    </row>
  </sheetData>
  <sheetProtection algorithmName="SHA-512" hashValue="SHMwanXhfGCqwtprHqs5eW7fGiR+vhJIdPRs8AijUu5NDkeX2K1Rl+WFDCep8dPSFIv9YMiER4Zh0PWhWIc1UQ==" saltValue="oUEUkwSqOPF64T0MmmVdRQ==" spinCount="100000" sheet="1" objects="1" scenarios="1"/>
  <mergeCells count="3">
    <mergeCell ref="C28:D28"/>
    <mergeCell ref="C29:D29"/>
    <mergeCell ref="G25:T25"/>
  </mergeCells>
  <pageMargins left="0.7" right="0.7" top="0.78740157499999996" bottom="0.78740157499999996" header="0.3" footer="0.3"/>
  <pageSetup paperSize="9" orientation="portrait" r:id="rId1"/>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Tabelle11"/>
  <dimension ref="A1:Y67"/>
  <sheetViews>
    <sheetView showGridLines="0" topLeftCell="A8" zoomScale="85" zoomScaleNormal="85" workbookViewId="0">
      <selection activeCell="D12" sqref="D12"/>
    </sheetView>
  </sheetViews>
  <sheetFormatPr baseColWidth="10" defaultColWidth="10.7109375" defaultRowHeight="15" x14ac:dyDescent="0.25"/>
  <cols>
    <col min="1" max="1" width="2.28515625" style="95" customWidth="1"/>
    <col min="2" max="2" width="4.140625" style="95" customWidth="1"/>
    <col min="3" max="3" width="15.42578125" style="95" customWidth="1"/>
    <col min="4" max="4" width="18.7109375" style="95" customWidth="1"/>
    <col min="5" max="5" width="5.7109375" style="95" customWidth="1"/>
    <col min="6" max="6" width="16.42578125" style="95" customWidth="1"/>
    <col min="7" max="7" width="6.28515625" style="95" customWidth="1"/>
    <col min="8" max="8" width="12.42578125" style="95" customWidth="1"/>
    <col min="9" max="9" width="20.7109375" style="95" customWidth="1"/>
    <col min="10" max="10" width="23.42578125" style="95" customWidth="1"/>
    <col min="11" max="11" width="9.7109375" style="95" customWidth="1"/>
    <col min="12" max="12" width="14.140625" style="95" customWidth="1"/>
    <col min="13" max="13" width="12.7109375" style="95" customWidth="1"/>
    <col min="14" max="14" width="6.42578125" style="95" customWidth="1"/>
    <col min="15" max="15" width="9.5703125" style="95" customWidth="1"/>
    <col min="16" max="16" width="13.7109375" style="125" customWidth="1"/>
    <col min="17" max="17" width="14.85546875" style="125" customWidth="1"/>
    <col min="18" max="18" width="11.42578125" style="125" customWidth="1"/>
    <col min="19" max="19" width="13.42578125" style="125" customWidth="1"/>
    <col min="20" max="21" width="19.85546875" style="95" customWidth="1"/>
    <col min="22" max="22" width="15.28515625" style="95" customWidth="1"/>
    <col min="23" max="23" width="7.140625" style="125" customWidth="1"/>
    <col min="24" max="16384" width="10.7109375" style="95"/>
  </cols>
  <sheetData>
    <row r="1" spans="1:21" ht="33.6" customHeight="1" x14ac:dyDescent="0.5">
      <c r="B1" s="27" t="s">
        <v>122</v>
      </c>
    </row>
    <row r="2" spans="1:21" ht="18" customHeight="1" x14ac:dyDescent="0.3">
      <c r="B2" s="28" t="str">
        <f>"In vier Schritten zur Berechnung Ihres möglichen Zuschusses in der " &amp; par_EZ_Stufe &amp; " (für Unternehmen mit Energie-, Strom- und Treibstoffbeschaffungskosten bis EUR " &amp; par_EZ_Grenze_txt &amp; ".)"</f>
        <v>In vier Schritten zur Berechnung Ihres möglichen Zuschusses in der Basisstufe (für Unternehmen mit Energie-, Strom- und Treibstoffbeschaffungskosten bis EUR 80 Mio.)</v>
      </c>
    </row>
    <row r="3" spans="1:21" ht="8.4499999999999993" customHeight="1" thickBot="1" x14ac:dyDescent="0.35">
      <c r="B3" s="28"/>
    </row>
    <row r="4" spans="1:21" ht="18" customHeight="1" thickBot="1" x14ac:dyDescent="0.4">
      <c r="A4" s="165"/>
      <c r="B4" s="105" t="s">
        <v>2</v>
      </c>
      <c r="H4" s="400"/>
      <c r="I4" s="401"/>
    </row>
    <row r="5" spans="1:21" ht="9.6" customHeight="1" x14ac:dyDescent="0.35">
      <c r="A5" s="165"/>
      <c r="B5" s="105"/>
      <c r="H5" s="213"/>
      <c r="I5" s="213"/>
    </row>
    <row r="6" spans="1:21" ht="21" customHeight="1" x14ac:dyDescent="0.4">
      <c r="A6" s="166"/>
      <c r="B6" s="36" t="s">
        <v>232</v>
      </c>
      <c r="C6" s="97"/>
      <c r="D6" s="97"/>
      <c r="E6" s="97"/>
      <c r="F6" s="97"/>
      <c r="G6" s="97"/>
      <c r="H6" s="97"/>
      <c r="I6" s="97"/>
      <c r="J6" s="97"/>
      <c r="K6" s="97"/>
      <c r="L6" s="97"/>
      <c r="M6" s="97"/>
      <c r="N6" s="97"/>
      <c r="O6" s="97"/>
      <c r="P6" s="168"/>
      <c r="Q6" s="168"/>
      <c r="R6" s="168"/>
      <c r="S6" s="168"/>
      <c r="T6" s="97"/>
    </row>
    <row r="7" spans="1:21" ht="9" customHeight="1" x14ac:dyDescent="0.35">
      <c r="A7" s="166"/>
      <c r="B7" s="97"/>
      <c r="C7" s="97"/>
      <c r="D7" s="97"/>
      <c r="E7" s="97"/>
      <c r="F7" s="97"/>
      <c r="G7" s="97"/>
      <c r="H7" s="97"/>
      <c r="I7" s="97"/>
      <c r="J7" s="97"/>
      <c r="K7" s="97"/>
      <c r="L7" s="97"/>
      <c r="M7" s="97"/>
      <c r="N7" s="97"/>
      <c r="O7" s="97"/>
      <c r="P7" s="168"/>
      <c r="Q7" s="168"/>
      <c r="R7" s="168"/>
      <c r="S7" s="168"/>
      <c r="T7" s="97"/>
    </row>
    <row r="8" spans="1:21" ht="24" x14ac:dyDescent="0.4">
      <c r="A8" s="166"/>
      <c r="B8" s="211" t="s">
        <v>244</v>
      </c>
      <c r="C8" s="208"/>
      <c r="D8" s="97"/>
      <c r="E8" s="97"/>
      <c r="F8" s="97"/>
      <c r="G8" s="97"/>
      <c r="H8" s="97"/>
      <c r="I8" s="97"/>
      <c r="J8" s="97"/>
      <c r="K8" s="97"/>
      <c r="L8" s="97"/>
      <c r="M8" s="97"/>
      <c r="N8" s="97"/>
      <c r="O8" s="97"/>
      <c r="P8" s="168"/>
      <c r="Q8" s="168"/>
      <c r="R8" s="168"/>
      <c r="S8" s="168"/>
      <c r="T8" s="97"/>
    </row>
    <row r="9" spans="1:21" ht="4.1500000000000004" customHeight="1" x14ac:dyDescent="0.35">
      <c r="A9" s="166"/>
      <c r="B9" s="167"/>
      <c r="C9" s="167"/>
      <c r="D9" s="97"/>
      <c r="E9" s="97"/>
      <c r="F9" s="97"/>
      <c r="G9" s="97"/>
      <c r="H9" s="97"/>
      <c r="I9" s="97"/>
      <c r="J9" s="97"/>
      <c r="K9" s="97"/>
      <c r="L9" s="97"/>
      <c r="M9" s="97"/>
      <c r="N9" s="97"/>
      <c r="O9" s="97"/>
      <c r="P9" s="168"/>
      <c r="Q9" s="168"/>
      <c r="R9" s="168"/>
      <c r="S9" s="168"/>
      <c r="T9" s="97"/>
    </row>
    <row r="10" spans="1:21" ht="35.450000000000003" customHeight="1" x14ac:dyDescent="0.35">
      <c r="A10" s="166"/>
      <c r="B10" s="302" t="s">
        <v>233</v>
      </c>
      <c r="C10" s="302"/>
      <c r="D10" s="303" t="s">
        <v>123</v>
      </c>
      <c r="E10" s="305" t="s">
        <v>124</v>
      </c>
      <c r="F10" s="306"/>
      <c r="G10" s="307"/>
      <c r="H10" s="303" t="s">
        <v>123</v>
      </c>
      <c r="I10" s="97"/>
      <c r="J10" s="97"/>
      <c r="K10" s="97"/>
      <c r="L10" s="97"/>
      <c r="M10" s="97"/>
      <c r="N10" s="97"/>
      <c r="O10" s="97"/>
      <c r="P10" s="168"/>
      <c r="Q10" s="168"/>
      <c r="R10" s="168"/>
      <c r="S10" s="168"/>
      <c r="T10" s="97"/>
    </row>
    <row r="11" spans="1:21" ht="19.899999999999999" customHeight="1" thickBot="1" x14ac:dyDescent="0.3">
      <c r="A11" s="168"/>
      <c r="B11" s="302"/>
      <c r="C11" s="302"/>
      <c r="D11" s="304"/>
      <c r="E11" s="308"/>
      <c r="F11" s="309"/>
      <c r="G11" s="310"/>
      <c r="H11" s="304"/>
      <c r="I11" s="168"/>
      <c r="J11" s="168"/>
      <c r="K11" s="168"/>
      <c r="L11" s="168"/>
      <c r="M11" s="169"/>
      <c r="N11" s="169"/>
      <c r="O11" s="169"/>
      <c r="P11" s="169"/>
      <c r="Q11" s="169"/>
      <c r="R11" s="168"/>
      <c r="S11" s="168"/>
      <c r="T11" s="97"/>
      <c r="U11" s="125"/>
    </row>
    <row r="12" spans="1:21" ht="27" customHeight="1" thickBot="1" x14ac:dyDescent="0.4">
      <c r="A12" s="166"/>
      <c r="B12" s="311" t="s">
        <v>139</v>
      </c>
      <c r="C12" s="312"/>
      <c r="D12" s="276" t="s">
        <v>249</v>
      </c>
      <c r="E12" s="313" t="s">
        <v>127</v>
      </c>
      <c r="F12" s="314"/>
      <c r="G12" s="315"/>
      <c r="H12" s="276" t="s">
        <v>249</v>
      </c>
      <c r="I12" s="168"/>
      <c r="J12" s="168"/>
      <c r="K12" s="97"/>
      <c r="L12" s="97"/>
      <c r="M12" s="97"/>
      <c r="N12" s="97"/>
      <c r="O12" s="97"/>
      <c r="P12" s="168"/>
      <c r="Q12" s="168"/>
      <c r="R12" s="168"/>
      <c r="S12" s="168"/>
      <c r="T12" s="97"/>
    </row>
    <row r="13" spans="1:21" ht="27" customHeight="1" thickBot="1" x14ac:dyDescent="0.4">
      <c r="A13" s="166"/>
      <c r="B13" s="416" t="s">
        <v>118</v>
      </c>
      <c r="C13" s="417"/>
      <c r="D13" s="276" t="s">
        <v>249</v>
      </c>
      <c r="E13" s="313"/>
      <c r="F13" s="314"/>
      <c r="G13" s="314"/>
      <c r="H13" s="418"/>
      <c r="I13" s="168"/>
      <c r="J13" s="168"/>
      <c r="K13" s="97"/>
      <c r="L13" s="97"/>
      <c r="M13" s="97"/>
      <c r="N13" s="97"/>
      <c r="O13" s="97"/>
      <c r="P13" s="168"/>
      <c r="Q13" s="168"/>
      <c r="R13" s="168"/>
      <c r="S13" s="168"/>
      <c r="T13" s="97"/>
    </row>
    <row r="14" spans="1:21" ht="27" customHeight="1" thickBot="1" x14ac:dyDescent="0.4">
      <c r="A14" s="166"/>
      <c r="B14" s="419" t="s">
        <v>119</v>
      </c>
      <c r="C14" s="420"/>
      <c r="D14" s="276" t="s">
        <v>249</v>
      </c>
      <c r="E14" s="313"/>
      <c r="F14" s="314"/>
      <c r="G14" s="314"/>
      <c r="H14" s="399"/>
      <c r="I14" s="168"/>
      <c r="J14" s="168"/>
      <c r="K14" s="97"/>
      <c r="L14" s="97"/>
      <c r="M14" s="97"/>
      <c r="N14" s="97"/>
      <c r="O14" s="97"/>
      <c r="P14" s="168"/>
      <c r="Q14" s="168"/>
      <c r="R14" s="168"/>
      <c r="S14" s="168"/>
      <c r="T14" s="97"/>
    </row>
    <row r="15" spans="1:21" ht="6" customHeight="1" x14ac:dyDescent="0.35">
      <c r="A15" s="166"/>
      <c r="B15" s="97"/>
      <c r="C15" s="97"/>
      <c r="D15" s="97"/>
      <c r="E15" s="97"/>
      <c r="F15" s="97"/>
      <c r="G15" s="97"/>
      <c r="H15" s="170"/>
      <c r="I15" s="170"/>
      <c r="J15" s="170"/>
      <c r="K15" s="97"/>
      <c r="L15" s="97"/>
      <c r="M15" s="97"/>
      <c r="N15" s="97"/>
      <c r="O15" s="97"/>
      <c r="P15" s="168"/>
      <c r="Q15" s="168"/>
      <c r="R15" s="168"/>
      <c r="S15" s="168"/>
      <c r="T15" s="97"/>
    </row>
    <row r="16" spans="1:21" ht="19.149999999999999" customHeight="1" x14ac:dyDescent="0.35">
      <c r="A16" s="166"/>
      <c r="B16" s="97"/>
      <c r="C16" s="97"/>
      <c r="D16" s="97"/>
      <c r="E16" s="97"/>
      <c r="F16" s="97"/>
      <c r="G16" s="97"/>
      <c r="H16" s="97"/>
      <c r="I16" s="97"/>
      <c r="J16" s="97"/>
      <c r="K16" s="97"/>
      <c r="L16" s="97"/>
      <c r="M16" s="97"/>
      <c r="N16" s="97"/>
      <c r="O16" s="97"/>
      <c r="P16" s="168"/>
      <c r="Q16" s="168"/>
      <c r="R16" s="168"/>
      <c r="S16" s="168"/>
      <c r="T16" s="97"/>
    </row>
    <row r="17" spans="1:23" ht="19.5" x14ac:dyDescent="0.4">
      <c r="A17" s="168"/>
      <c r="B17" s="211" t="s">
        <v>245</v>
      </c>
      <c r="C17" s="168"/>
      <c r="D17" s="168"/>
      <c r="E17" s="168"/>
      <c r="F17" s="168"/>
      <c r="G17" s="168"/>
      <c r="H17" s="168"/>
      <c r="I17" s="168"/>
      <c r="J17" s="168"/>
      <c r="K17" s="168"/>
      <c r="L17" s="168"/>
      <c r="M17" s="301"/>
      <c r="N17" s="301"/>
      <c r="O17" s="169"/>
      <c r="P17" s="301"/>
      <c r="Q17" s="301"/>
      <c r="R17" s="168"/>
      <c r="S17" s="168"/>
      <c r="T17" s="168"/>
      <c r="U17" s="125"/>
      <c r="V17" s="125"/>
    </row>
    <row r="18" spans="1:23" ht="34.5" customHeight="1" x14ac:dyDescent="0.3">
      <c r="A18" s="168"/>
      <c r="B18" s="167"/>
      <c r="C18" s="209" t="s">
        <v>236</v>
      </c>
      <c r="D18" s="168"/>
      <c r="E18" s="168"/>
      <c r="F18" s="168"/>
      <c r="G18" s="168"/>
      <c r="H18" s="168"/>
      <c r="I18" s="168"/>
      <c r="J18" s="168"/>
      <c r="K18" s="168"/>
      <c r="L18" s="168"/>
      <c r="M18" s="169"/>
      <c r="N18" s="169"/>
      <c r="O18" s="169"/>
      <c r="P18" s="169"/>
      <c r="Q18" s="169"/>
      <c r="R18" s="168"/>
      <c r="S18" s="168"/>
      <c r="T18" s="168"/>
      <c r="U18" s="125"/>
      <c r="V18" s="125"/>
    </row>
    <row r="19" spans="1:23" ht="28.9" customHeight="1" x14ac:dyDescent="0.3">
      <c r="A19" s="168"/>
      <c r="B19" s="167"/>
      <c r="C19" s="321" t="s">
        <v>168</v>
      </c>
      <c r="D19" s="172" t="s">
        <v>128</v>
      </c>
      <c r="E19" s="324" t="s">
        <v>129</v>
      </c>
      <c r="F19" s="324"/>
      <c r="G19" s="168"/>
      <c r="H19" s="171"/>
      <c r="I19" s="171"/>
      <c r="J19" s="168"/>
      <c r="K19" s="168"/>
      <c r="L19" s="168"/>
      <c r="M19" s="169"/>
      <c r="N19" s="169"/>
      <c r="O19" s="169"/>
      <c r="P19" s="169"/>
      <c r="Q19" s="169"/>
      <c r="R19" s="168"/>
      <c r="S19" s="168"/>
      <c r="T19" s="168"/>
      <c r="U19" s="125"/>
      <c r="V19" s="125"/>
    </row>
    <row r="20" spans="1:23" s="179" customFormat="1" ht="29.25" thickBot="1" x14ac:dyDescent="0.3">
      <c r="A20" s="171"/>
      <c r="B20" s="173"/>
      <c r="C20" s="322"/>
      <c r="D20" s="325" t="s">
        <v>125</v>
      </c>
      <c r="E20" s="327">
        <f>IFERROR(IF(do_Heizöl="JA",IFERROR(IF(HHH_VSt="JA",S21,IF(HHH_VSt="NEIN",S21*(1+par_TS_Ust),"")),0),0),0)</f>
        <v>0</v>
      </c>
      <c r="F20" s="327"/>
      <c r="G20" s="173"/>
      <c r="H20" s="328" t="s">
        <v>130</v>
      </c>
      <c r="I20" s="329"/>
      <c r="J20" s="174" t="s">
        <v>131</v>
      </c>
      <c r="K20" s="330" t="s">
        <v>132</v>
      </c>
      <c r="L20" s="330"/>
      <c r="M20" s="316" t="s">
        <v>227</v>
      </c>
      <c r="N20" s="317"/>
      <c r="O20" s="318"/>
      <c r="P20" s="175" t="s">
        <v>133</v>
      </c>
      <c r="Q20" s="175" t="s">
        <v>183</v>
      </c>
      <c r="R20" s="176" t="s">
        <v>134</v>
      </c>
      <c r="S20" s="176" t="s">
        <v>135</v>
      </c>
      <c r="T20" s="177"/>
      <c r="U20" s="178"/>
      <c r="V20" s="178"/>
    </row>
    <row r="21" spans="1:23" ht="19.899999999999999" customHeight="1" thickBot="1" x14ac:dyDescent="0.3">
      <c r="A21" s="168"/>
      <c r="B21" s="109"/>
      <c r="C21" s="322"/>
      <c r="D21" s="326"/>
      <c r="E21" s="327"/>
      <c r="F21" s="327"/>
      <c r="G21" s="97"/>
      <c r="H21" s="349" t="str">
        <f>VLOOKUP(H20,Verweis_Heizölart,2,FALSE)</f>
        <v>Schwefelgehalt ≤10mg/kg</v>
      </c>
      <c r="I21" s="350"/>
      <c r="J21" s="214" t="str">
        <f>par_FZ_dText</f>
        <v>01.01.2023-30.06.2023</v>
      </c>
      <c r="K21" s="319"/>
      <c r="L21" s="319"/>
      <c r="M21" s="320"/>
      <c r="N21" s="320"/>
      <c r="O21" s="320"/>
      <c r="P21" s="215">
        <f>IFERROR(M21/K21,0)</f>
        <v>0</v>
      </c>
      <c r="Q21" s="216">
        <f>IF(HHH_VSt="NEIN",P21*par_Heizöl_USt,0)</f>
        <v>0</v>
      </c>
      <c r="R21" s="216">
        <f>VLOOKUP(H20,Verweis_Heizölart,3,FALSE)</f>
        <v>9.8000000000000004E-2</v>
      </c>
      <c r="S21" s="217">
        <f>IFERROR(IF(OR(AND(M21="",K21=""),AND(M21="",K21&lt;&gt;""),AND(M21&lt;&gt;"",K21="")),0,MAX((P21-R21),0)),0)</f>
        <v>0</v>
      </c>
      <c r="T21" s="168"/>
      <c r="U21" s="125"/>
      <c r="V21" s="125"/>
    </row>
    <row r="22" spans="1:23" ht="11.45" customHeight="1" x14ac:dyDescent="0.25">
      <c r="A22" s="168"/>
      <c r="B22" s="109"/>
      <c r="C22" s="322"/>
      <c r="D22" s="331"/>
      <c r="E22" s="332"/>
      <c r="F22" s="333"/>
      <c r="G22" s="97"/>
      <c r="H22" s="180"/>
      <c r="I22" s="180"/>
      <c r="J22" s="205"/>
      <c r="K22" s="218"/>
      <c r="L22" s="218"/>
      <c r="M22" s="219"/>
      <c r="N22" s="219"/>
      <c r="O22" s="219"/>
      <c r="P22" s="220"/>
      <c r="Q22" s="221"/>
      <c r="R22" s="168"/>
      <c r="S22" s="168"/>
      <c r="T22" s="168"/>
      <c r="U22" s="125"/>
      <c r="V22" s="125"/>
    </row>
    <row r="23" spans="1:23" s="179" customFormat="1" ht="27" customHeight="1" thickBot="1" x14ac:dyDescent="0.3">
      <c r="A23" s="177"/>
      <c r="B23" s="181"/>
      <c r="C23" s="322"/>
      <c r="D23" s="334"/>
      <c r="E23" s="335"/>
      <c r="F23" s="336"/>
      <c r="G23" s="173"/>
      <c r="H23" s="182"/>
      <c r="I23" s="182"/>
      <c r="J23" s="183" t="s">
        <v>131</v>
      </c>
      <c r="K23" s="337" t="s">
        <v>136</v>
      </c>
      <c r="L23" s="337"/>
      <c r="M23" s="343" t="s">
        <v>227</v>
      </c>
      <c r="N23" s="344"/>
      <c r="O23" s="345"/>
      <c r="P23" s="184" t="s">
        <v>137</v>
      </c>
      <c r="Q23" s="175" t="s">
        <v>183</v>
      </c>
      <c r="R23" s="177"/>
      <c r="S23" s="177"/>
      <c r="T23" s="177"/>
      <c r="U23" s="178"/>
      <c r="V23" s="178"/>
      <c r="W23" s="178"/>
    </row>
    <row r="24" spans="1:23" ht="19.899999999999999" customHeight="1" thickBot="1" x14ac:dyDescent="0.3">
      <c r="A24" s="168"/>
      <c r="B24" s="109"/>
      <c r="C24" s="322"/>
      <c r="D24" s="185" t="s">
        <v>118</v>
      </c>
      <c r="E24" s="346">
        <f>IFERROR(IF(do_Pellets="JA",P24+Q24,0),0)</f>
        <v>0</v>
      </c>
      <c r="F24" s="346"/>
      <c r="G24" s="97"/>
      <c r="H24" s="347" t="s">
        <v>118</v>
      </c>
      <c r="I24" s="348"/>
      <c r="J24" s="222" t="str">
        <f>J21</f>
        <v>01.01.2023-30.06.2023</v>
      </c>
      <c r="K24" s="342"/>
      <c r="L24" s="342"/>
      <c r="M24" s="320"/>
      <c r="N24" s="320"/>
      <c r="O24" s="320"/>
      <c r="P24" s="223">
        <f>IFERROR(M24/K24,0)</f>
        <v>0</v>
      </c>
      <c r="Q24" s="216">
        <f>IF(HHH_VSt="NEIN",P24*par_Pell_USt,0)</f>
        <v>0</v>
      </c>
      <c r="R24" s="338"/>
      <c r="S24" s="338"/>
      <c r="T24" s="97"/>
      <c r="U24" s="125"/>
      <c r="V24" s="125"/>
    </row>
    <row r="25" spans="1:23" ht="19.899999999999999" customHeight="1" thickBot="1" x14ac:dyDescent="0.3">
      <c r="A25" s="168"/>
      <c r="B25" s="109"/>
      <c r="C25" s="323"/>
      <c r="D25" s="186" t="s">
        <v>119</v>
      </c>
      <c r="E25" s="339">
        <f>IFERROR(IF(do_Hackschnitzel="JA",P25+Q25,0),0)</f>
        <v>0</v>
      </c>
      <c r="F25" s="339"/>
      <c r="G25" s="97"/>
      <c r="H25" s="340" t="s">
        <v>119</v>
      </c>
      <c r="I25" s="341"/>
      <c r="J25" s="224" t="str">
        <f>J21</f>
        <v>01.01.2023-30.06.2023</v>
      </c>
      <c r="K25" s="342"/>
      <c r="L25" s="342"/>
      <c r="M25" s="320"/>
      <c r="N25" s="320"/>
      <c r="O25" s="320"/>
      <c r="P25" s="225">
        <f>IFERROR(M25/K25,0)</f>
        <v>0</v>
      </c>
      <c r="Q25" s="216">
        <f>IF(HHH_VSt="NEIN",P25*par_Hack_USt,0)</f>
        <v>0</v>
      </c>
      <c r="R25" s="168"/>
      <c r="S25" s="168"/>
      <c r="T25" s="97"/>
      <c r="U25" s="125"/>
      <c r="V25" s="125"/>
    </row>
    <row r="26" spans="1:23" ht="15" customHeight="1" x14ac:dyDescent="0.25">
      <c r="A26" s="168"/>
      <c r="B26" s="109"/>
      <c r="C26" s="187"/>
      <c r="D26" s="187"/>
      <c r="E26" s="187"/>
      <c r="F26" s="187"/>
      <c r="G26" s="97"/>
      <c r="H26" s="226"/>
      <c r="I26" s="226"/>
      <c r="J26" s="97"/>
      <c r="K26" s="97"/>
      <c r="L26" s="97"/>
      <c r="M26" s="97"/>
      <c r="N26" s="97"/>
      <c r="O26" s="97"/>
      <c r="P26" s="168"/>
      <c r="Q26" s="168"/>
      <c r="R26" s="168"/>
      <c r="S26" s="168"/>
      <c r="T26" s="97"/>
      <c r="U26" s="125"/>
      <c r="V26" s="125"/>
    </row>
    <row r="27" spans="1:23" ht="24" customHeight="1" thickBot="1" x14ac:dyDescent="0.3">
      <c r="A27" s="168"/>
      <c r="B27" s="109"/>
      <c r="C27" s="210" t="s">
        <v>237</v>
      </c>
      <c r="D27" s="109"/>
      <c r="E27" s="109"/>
      <c r="F27" s="109"/>
      <c r="G27" s="97"/>
      <c r="H27" s="189"/>
      <c r="I27" s="189"/>
      <c r="J27" s="97"/>
      <c r="K27" s="97"/>
      <c r="L27" s="109"/>
      <c r="M27" s="109"/>
      <c r="N27" s="109"/>
      <c r="O27" s="109"/>
      <c r="P27" s="168"/>
      <c r="Q27" s="168"/>
      <c r="R27" s="168"/>
      <c r="S27" s="168"/>
      <c r="T27" s="168"/>
      <c r="U27" s="125"/>
      <c r="V27" s="125"/>
    </row>
    <row r="28" spans="1:23" ht="21" customHeight="1" thickBot="1" x14ac:dyDescent="0.3">
      <c r="A28" s="168"/>
      <c r="B28" s="109"/>
      <c r="C28" s="407" t="s">
        <v>138</v>
      </c>
      <c r="D28" s="408"/>
      <c r="E28" s="408"/>
      <c r="F28" s="409"/>
      <c r="G28" s="190"/>
      <c r="H28" s="402" t="s">
        <v>139</v>
      </c>
      <c r="I28" s="403"/>
      <c r="J28" s="277" t="s">
        <v>126</v>
      </c>
      <c r="K28" s="74" t="s">
        <v>4</v>
      </c>
      <c r="L28" s="135" t="s">
        <v>234</v>
      </c>
      <c r="M28" s="109"/>
      <c r="N28" s="109"/>
      <c r="O28" s="109"/>
      <c r="P28" s="168"/>
      <c r="Q28" s="168"/>
      <c r="R28" s="168"/>
      <c r="S28" s="168"/>
      <c r="T28" s="168"/>
      <c r="U28" s="125"/>
      <c r="V28" s="125"/>
    </row>
    <row r="29" spans="1:23" ht="21" customHeight="1" thickBot="1" x14ac:dyDescent="0.35">
      <c r="A29" s="168"/>
      <c r="B29" s="109"/>
      <c r="C29" s="410" t="s">
        <v>235</v>
      </c>
      <c r="D29" s="411"/>
      <c r="E29" s="411"/>
      <c r="F29" s="412"/>
      <c r="G29" s="190"/>
      <c r="H29" s="347" t="s">
        <v>118</v>
      </c>
      <c r="I29" s="404"/>
      <c r="J29" s="277" t="s">
        <v>126</v>
      </c>
      <c r="K29" s="33"/>
      <c r="L29" s="109"/>
      <c r="M29" s="109"/>
      <c r="N29" s="109"/>
      <c r="O29" s="109"/>
      <c r="P29" s="191"/>
      <c r="Q29" s="191"/>
      <c r="R29" s="191"/>
      <c r="S29" s="191"/>
      <c r="T29" s="191"/>
      <c r="U29" s="192"/>
      <c r="V29" s="192"/>
      <c r="W29" s="192"/>
    </row>
    <row r="30" spans="1:23" ht="21" customHeight="1" thickBot="1" x14ac:dyDescent="0.35">
      <c r="A30" s="168"/>
      <c r="B30" s="109"/>
      <c r="C30" s="413"/>
      <c r="D30" s="414"/>
      <c r="E30" s="414"/>
      <c r="F30" s="415"/>
      <c r="G30" s="193"/>
      <c r="H30" s="405" t="s">
        <v>119</v>
      </c>
      <c r="I30" s="406"/>
      <c r="J30" s="277" t="s">
        <v>126</v>
      </c>
      <c r="K30" s="33"/>
      <c r="L30" s="109"/>
      <c r="M30" s="109"/>
      <c r="N30" s="109"/>
      <c r="O30" s="109"/>
      <c r="P30" s="191"/>
      <c r="Q30" s="191"/>
      <c r="R30" s="191"/>
      <c r="S30" s="191"/>
      <c r="T30" s="191"/>
      <c r="U30" s="192"/>
      <c r="V30" s="192"/>
      <c r="W30" s="192"/>
    </row>
    <row r="31" spans="1:23" ht="9" customHeight="1" x14ac:dyDescent="0.25">
      <c r="A31" s="168"/>
      <c r="B31" s="109"/>
      <c r="C31" s="109"/>
      <c r="D31" s="109"/>
      <c r="E31" s="109"/>
      <c r="F31" s="109"/>
      <c r="G31" s="109"/>
      <c r="H31" s="188"/>
      <c r="I31" s="188"/>
      <c r="J31" s="109"/>
      <c r="K31" s="109"/>
      <c r="L31" s="109"/>
      <c r="M31" s="109"/>
      <c r="N31" s="109"/>
      <c r="O31" s="109"/>
      <c r="P31" s="168"/>
      <c r="Q31" s="168"/>
      <c r="R31" s="168"/>
      <c r="S31" s="168"/>
      <c r="T31" s="168"/>
      <c r="U31" s="125"/>
      <c r="V31" s="125"/>
    </row>
    <row r="32" spans="1:23" ht="30" customHeight="1" x14ac:dyDescent="0.25">
      <c r="A32" s="168"/>
      <c r="B32" s="109"/>
      <c r="C32" s="321" t="s">
        <v>167</v>
      </c>
      <c r="D32" s="194" t="s">
        <v>128</v>
      </c>
      <c r="E32" s="324" t="s">
        <v>129</v>
      </c>
      <c r="F32" s="324"/>
      <c r="G32" s="168"/>
      <c r="H32" s="170"/>
      <c r="I32" s="170"/>
      <c r="J32" s="168"/>
      <c r="K32" s="168"/>
      <c r="L32" s="168"/>
      <c r="M32" s="169"/>
      <c r="N32" s="169"/>
      <c r="O32" s="169"/>
      <c r="P32" s="169"/>
      <c r="Q32" s="169"/>
      <c r="R32" s="168"/>
      <c r="S32" s="191"/>
      <c r="T32" s="191"/>
      <c r="U32" s="192"/>
      <c r="V32" s="192"/>
      <c r="W32" s="192"/>
    </row>
    <row r="33" spans="1:25" ht="29.25" thickBot="1" x14ac:dyDescent="0.3">
      <c r="A33" s="168"/>
      <c r="B33" s="109"/>
      <c r="C33" s="322"/>
      <c r="D33" s="387" t="s">
        <v>125</v>
      </c>
      <c r="E33" s="389">
        <f>IFERROR(IF(do_Heizöl="JA",IF(J28="NEIN",E20/par_Heizöl_VZfaktor,IFERROR(IF(HHH_VSt="JA",S34,IF(HHH_VSt="NEIN",S34*(1+par_TS_Ust),"")),0)),0),0)</f>
        <v>0</v>
      </c>
      <c r="F33" s="390"/>
      <c r="G33" s="173"/>
      <c r="H33" s="328" t="str">
        <f>Heizölart</f>
        <v>Extra leichtes Heizöl</v>
      </c>
      <c r="I33" s="329"/>
      <c r="J33" s="174" t="s">
        <v>131</v>
      </c>
      <c r="K33" s="330" t="s">
        <v>140</v>
      </c>
      <c r="L33" s="330"/>
      <c r="M33" s="316" t="s">
        <v>228</v>
      </c>
      <c r="N33" s="317"/>
      <c r="O33" s="318"/>
      <c r="P33" s="175" t="s">
        <v>133</v>
      </c>
      <c r="Q33" s="175" t="s">
        <v>183</v>
      </c>
      <c r="R33" s="176" t="s">
        <v>134</v>
      </c>
      <c r="S33" s="176" t="s">
        <v>135</v>
      </c>
      <c r="T33" s="191"/>
      <c r="U33" s="192"/>
      <c r="V33" s="192"/>
      <c r="W33" s="192"/>
    </row>
    <row r="34" spans="1:25" ht="19.899999999999999" customHeight="1" thickBot="1" x14ac:dyDescent="0.3">
      <c r="A34" s="168"/>
      <c r="B34" s="109"/>
      <c r="C34" s="322"/>
      <c r="D34" s="388"/>
      <c r="E34" s="391"/>
      <c r="F34" s="392"/>
      <c r="G34" s="97"/>
      <c r="H34" s="349" t="str">
        <f>H21</f>
        <v>Schwefelgehalt ≤10mg/kg</v>
      </c>
      <c r="I34" s="350"/>
      <c r="J34" s="214" t="str">
        <f>par_VZ_dText</f>
        <v>01.01.2021-31.12.2021</v>
      </c>
      <c r="K34" s="319"/>
      <c r="L34" s="319"/>
      <c r="M34" s="320"/>
      <c r="N34" s="320"/>
      <c r="O34" s="320"/>
      <c r="P34" s="215">
        <f>IFERROR(M34/K34,0)</f>
        <v>0</v>
      </c>
      <c r="Q34" s="216">
        <f>IF(HHH_VSt="NEIN",P34*par_Heizöl_USt,0)</f>
        <v>0</v>
      </c>
      <c r="R34" s="216">
        <f>R21</f>
        <v>9.8000000000000004E-2</v>
      </c>
      <c r="S34" s="217">
        <f>IFERROR(IF(OR(AND(M34="",K34=""),AND(M34="",K34&lt;&gt;""),AND(M34&lt;&gt;"",K34="")),0,MAX((P34-R34),0)),0)</f>
        <v>0</v>
      </c>
      <c r="T34" s="191"/>
      <c r="U34" s="192"/>
      <c r="V34" s="192"/>
      <c r="W34" s="192"/>
    </row>
    <row r="35" spans="1:25" ht="9" customHeight="1" x14ac:dyDescent="0.25">
      <c r="A35" s="168"/>
      <c r="B35" s="109"/>
      <c r="C35" s="322"/>
      <c r="D35" s="331"/>
      <c r="E35" s="332"/>
      <c r="F35" s="333"/>
      <c r="G35" s="97"/>
      <c r="H35" s="180"/>
      <c r="I35" s="180"/>
      <c r="J35" s="205"/>
      <c r="K35" s="218"/>
      <c r="L35" s="218"/>
      <c r="M35" s="219"/>
      <c r="N35" s="219"/>
      <c r="O35" s="219"/>
      <c r="P35" s="220"/>
      <c r="Q35" s="221"/>
      <c r="R35" s="168"/>
      <c r="S35" s="191"/>
      <c r="T35" s="191"/>
      <c r="U35" s="192"/>
      <c r="V35" s="192"/>
      <c r="W35" s="192"/>
    </row>
    <row r="36" spans="1:25" ht="27" customHeight="1" thickBot="1" x14ac:dyDescent="0.3">
      <c r="A36" s="168"/>
      <c r="B36" s="109"/>
      <c r="C36" s="322"/>
      <c r="D36" s="334"/>
      <c r="E36" s="335"/>
      <c r="F36" s="336"/>
      <c r="G36" s="173"/>
      <c r="H36" s="182"/>
      <c r="I36" s="182"/>
      <c r="J36" s="183" t="s">
        <v>131</v>
      </c>
      <c r="K36" s="337" t="s">
        <v>141</v>
      </c>
      <c r="L36" s="337"/>
      <c r="M36" s="343" t="s">
        <v>142</v>
      </c>
      <c r="N36" s="344"/>
      <c r="O36" s="345"/>
      <c r="P36" s="184" t="s">
        <v>137</v>
      </c>
      <c r="Q36" s="175" t="s">
        <v>183</v>
      </c>
      <c r="R36" s="177"/>
      <c r="S36" s="191"/>
      <c r="T36" s="191"/>
      <c r="U36" s="192"/>
      <c r="V36" s="192"/>
      <c r="W36" s="192"/>
    </row>
    <row r="37" spans="1:25" ht="19.899999999999999" customHeight="1" thickBot="1" x14ac:dyDescent="0.3">
      <c r="A37" s="168"/>
      <c r="B37" s="109"/>
      <c r="C37" s="322"/>
      <c r="D37" s="185" t="s">
        <v>118</v>
      </c>
      <c r="E37" s="393">
        <f>IFERROR(IF(do_Pellets="JA",IFERROR(IF(J29="NEIN",E24/par_Pell_VZfaktor,P37+Q37),0),0),0)</f>
        <v>0</v>
      </c>
      <c r="F37" s="394"/>
      <c r="G37" s="97"/>
      <c r="H37" s="347" t="s">
        <v>118</v>
      </c>
      <c r="I37" s="348"/>
      <c r="J37" s="222" t="str">
        <f>J34</f>
        <v>01.01.2021-31.12.2021</v>
      </c>
      <c r="K37" s="342"/>
      <c r="L37" s="342"/>
      <c r="M37" s="320"/>
      <c r="N37" s="320"/>
      <c r="O37" s="320"/>
      <c r="P37" s="223">
        <f>IFERROR(M37/K37,0)</f>
        <v>0</v>
      </c>
      <c r="Q37" s="216">
        <f>IF(HHH_VSt="NEIN",P37*par_Pell_USt,0)</f>
        <v>0</v>
      </c>
      <c r="R37" s="168"/>
      <c r="S37" s="191"/>
      <c r="T37" s="191"/>
      <c r="U37" s="192"/>
      <c r="V37" s="192"/>
      <c r="W37" s="192"/>
    </row>
    <row r="38" spans="1:25" ht="19.899999999999999" customHeight="1" thickBot="1" x14ac:dyDescent="0.3">
      <c r="A38" s="168"/>
      <c r="B38" s="109"/>
      <c r="C38" s="323"/>
      <c r="D38" s="186" t="s">
        <v>119</v>
      </c>
      <c r="E38" s="395">
        <f>IFERROR(IF(do_Hackschnitzel="JA",IFERROR(IF(J30="NEIN",E25/par_Hack_VZfaktor,P38+Q38),0),0),0)</f>
        <v>0</v>
      </c>
      <c r="F38" s="396"/>
      <c r="G38" s="97"/>
      <c r="H38" s="340" t="s">
        <v>119</v>
      </c>
      <c r="I38" s="341"/>
      <c r="J38" s="224" t="str">
        <f>J34</f>
        <v>01.01.2021-31.12.2021</v>
      </c>
      <c r="K38" s="342"/>
      <c r="L38" s="342"/>
      <c r="M38" s="320"/>
      <c r="N38" s="320"/>
      <c r="O38" s="320"/>
      <c r="P38" s="225">
        <f>IFERROR(M38/K38,0)</f>
        <v>0</v>
      </c>
      <c r="Q38" s="216">
        <f>IF(HHH_VSt="NEIN",P38*par_Hack_USt,0)</f>
        <v>0</v>
      </c>
      <c r="R38" s="168"/>
      <c r="S38" s="191"/>
      <c r="T38" s="191"/>
      <c r="U38" s="192"/>
      <c r="V38" s="192"/>
      <c r="W38" s="192"/>
    </row>
    <row r="39" spans="1:25" ht="19.899999999999999" customHeight="1" x14ac:dyDescent="0.25">
      <c r="A39" s="168"/>
      <c r="B39" s="109"/>
      <c r="C39" s="195"/>
      <c r="D39" s="168"/>
      <c r="E39" s="169"/>
      <c r="F39" s="169"/>
      <c r="G39" s="193"/>
      <c r="H39" s="193"/>
      <c r="I39" s="193"/>
      <c r="J39" s="193"/>
      <c r="K39" s="169"/>
      <c r="L39" s="109"/>
      <c r="M39" s="109"/>
      <c r="N39" s="109"/>
      <c r="O39" s="109"/>
      <c r="P39" s="191"/>
      <c r="Q39" s="191"/>
      <c r="R39" s="191"/>
      <c r="S39" s="191"/>
      <c r="T39" s="191"/>
      <c r="U39" s="192"/>
      <c r="V39" s="192"/>
      <c r="W39" s="192"/>
    </row>
    <row r="40" spans="1:25" ht="13.15" customHeight="1" x14ac:dyDescent="0.25">
      <c r="A40" s="168"/>
      <c r="B40" s="109"/>
      <c r="C40" s="196"/>
      <c r="D40" s="196"/>
      <c r="E40" s="196"/>
      <c r="F40" s="196"/>
      <c r="G40" s="196"/>
      <c r="H40" s="109"/>
      <c r="I40" s="109"/>
      <c r="J40" s="109"/>
      <c r="K40" s="109"/>
      <c r="L40" s="109"/>
      <c r="M40" s="109"/>
      <c r="N40" s="109"/>
      <c r="O40" s="109"/>
      <c r="P40" s="191"/>
      <c r="Q40" s="191"/>
      <c r="R40" s="191"/>
      <c r="S40" s="191"/>
      <c r="T40" s="191"/>
      <c r="U40" s="192"/>
      <c r="V40" s="192"/>
      <c r="W40" s="192"/>
    </row>
    <row r="41" spans="1:25" ht="22.9" customHeight="1" x14ac:dyDescent="0.4">
      <c r="A41" s="168"/>
      <c r="B41" s="211" t="s">
        <v>246</v>
      </c>
      <c r="C41" s="97"/>
      <c r="D41" s="97"/>
      <c r="E41" s="196"/>
      <c r="F41" s="196"/>
      <c r="G41" s="196"/>
      <c r="H41" s="109"/>
      <c r="I41" s="109"/>
      <c r="J41" s="109"/>
      <c r="K41" s="97"/>
      <c r="L41" s="97"/>
      <c r="M41" s="97"/>
      <c r="N41" s="97"/>
      <c r="O41" s="97"/>
      <c r="P41" s="191"/>
      <c r="Q41" s="191"/>
      <c r="R41" s="191"/>
      <c r="S41" s="191"/>
      <c r="T41" s="191"/>
      <c r="U41" s="192"/>
      <c r="V41" s="192"/>
      <c r="W41" s="192"/>
    </row>
    <row r="42" spans="1:25" ht="16.149999999999999" customHeight="1" x14ac:dyDescent="0.25">
      <c r="A42" s="168"/>
      <c r="B42" s="109"/>
      <c r="C42" s="196"/>
      <c r="D42" s="196"/>
      <c r="E42" s="196"/>
      <c r="F42" s="196"/>
      <c r="G42" s="196"/>
      <c r="H42" s="109"/>
      <c r="I42" s="109"/>
      <c r="J42" s="109"/>
      <c r="K42" s="97"/>
      <c r="L42" s="97"/>
      <c r="M42" s="97"/>
      <c r="N42" s="97"/>
      <c r="O42" s="97"/>
      <c r="P42" s="191"/>
      <c r="Q42" s="191"/>
      <c r="R42" s="191"/>
      <c r="S42" s="191"/>
      <c r="T42" s="191"/>
      <c r="U42" s="192"/>
      <c r="V42" s="192"/>
      <c r="W42" s="192"/>
    </row>
    <row r="43" spans="1:25" ht="31.9" customHeight="1" thickBot="1" x14ac:dyDescent="0.3">
      <c r="A43" s="168"/>
      <c r="B43" s="109"/>
      <c r="C43" s="321" t="s">
        <v>182</v>
      </c>
      <c r="D43" s="172" t="s">
        <v>128</v>
      </c>
      <c r="E43" s="324" t="s">
        <v>143</v>
      </c>
      <c r="F43" s="324"/>
      <c r="G43" s="196"/>
      <c r="H43" s="256" t="s">
        <v>247</v>
      </c>
      <c r="I43" s="171"/>
      <c r="J43" s="109"/>
      <c r="K43" s="97"/>
      <c r="L43" s="97"/>
      <c r="M43" s="97"/>
      <c r="N43" s="97"/>
      <c r="O43" s="97"/>
      <c r="P43" s="191"/>
      <c r="Q43" s="191"/>
      <c r="R43" s="191"/>
      <c r="S43" s="191"/>
      <c r="T43" s="191"/>
      <c r="U43" s="192"/>
      <c r="V43" s="192"/>
      <c r="W43" s="192"/>
    </row>
    <row r="44" spans="1:25" ht="42" customHeight="1" thickBot="1" x14ac:dyDescent="0.3">
      <c r="A44" s="168"/>
      <c r="B44" s="109"/>
      <c r="C44" s="322"/>
      <c r="D44" s="197" t="s">
        <v>125</v>
      </c>
      <c r="E44" s="351">
        <f>IFERROR(IF(ISERROR(SEARCH("Inventurmethode",K44)),M62,M53)*par_FZ_Monate,0)</f>
        <v>0</v>
      </c>
      <c r="F44" s="352"/>
      <c r="G44" s="196"/>
      <c r="H44" s="353" t="s">
        <v>139</v>
      </c>
      <c r="I44" s="354"/>
      <c r="J44" s="198" t="s">
        <v>145</v>
      </c>
      <c r="K44" s="355" t="s">
        <v>146</v>
      </c>
      <c r="L44" s="355"/>
      <c r="M44" s="355"/>
      <c r="N44" s="97"/>
      <c r="O44" s="97"/>
      <c r="P44" s="168"/>
      <c r="Q44" s="168"/>
      <c r="R44" s="168"/>
      <c r="S44" s="168"/>
      <c r="T44" s="191"/>
      <c r="V44" s="192"/>
      <c r="W44" s="192"/>
    </row>
    <row r="45" spans="1:25" ht="42" customHeight="1" thickBot="1" x14ac:dyDescent="0.3">
      <c r="A45" s="168"/>
      <c r="B45" s="109"/>
      <c r="C45" s="322"/>
      <c r="D45" s="185" t="s">
        <v>118</v>
      </c>
      <c r="E45" s="356">
        <f>IFERROR(IF(ISERROR(SEARCH("Inventurmethode",K45)),M63,M54)*par_FZ_Monate,0)</f>
        <v>0</v>
      </c>
      <c r="F45" s="357"/>
      <c r="G45" s="196"/>
      <c r="H45" s="358" t="s">
        <v>118</v>
      </c>
      <c r="I45" s="348"/>
      <c r="J45" s="199" t="s">
        <v>145</v>
      </c>
      <c r="K45" s="355" t="s">
        <v>146</v>
      </c>
      <c r="L45" s="355"/>
      <c r="M45" s="355"/>
      <c r="N45" s="97"/>
      <c r="O45" s="97"/>
      <c r="P45" s="168"/>
      <c r="Q45" s="168"/>
      <c r="R45" s="168"/>
      <c r="S45" s="168"/>
      <c r="T45" s="191"/>
      <c r="U45"/>
      <c r="V45"/>
      <c r="W45"/>
      <c r="X45"/>
      <c r="Y45"/>
    </row>
    <row r="46" spans="1:25" ht="42" customHeight="1" thickBot="1" x14ac:dyDescent="0.3">
      <c r="A46" s="168"/>
      <c r="B46" s="109"/>
      <c r="C46" s="323"/>
      <c r="D46" s="186" t="s">
        <v>119</v>
      </c>
      <c r="E46" s="359">
        <f>IFERROR(IF(ISERROR(SEARCH("Inventurmethode",K46)),M64,M55)*par_FZ_Monate,0)</f>
        <v>0</v>
      </c>
      <c r="F46" s="360"/>
      <c r="G46" s="196"/>
      <c r="H46" s="361" t="s">
        <v>119</v>
      </c>
      <c r="I46" s="362"/>
      <c r="J46" s="200" t="s">
        <v>145</v>
      </c>
      <c r="K46" s="355" t="s">
        <v>146</v>
      </c>
      <c r="L46" s="355"/>
      <c r="M46" s="355"/>
      <c r="N46" s="97"/>
      <c r="O46" s="97"/>
      <c r="P46" s="168"/>
      <c r="Q46" s="168"/>
      <c r="R46" s="168"/>
      <c r="S46" s="168"/>
      <c r="T46" s="191"/>
      <c r="U46"/>
      <c r="V46"/>
      <c r="W46"/>
      <c r="X46"/>
      <c r="Y46"/>
    </row>
    <row r="47" spans="1:25" ht="16.149999999999999" customHeight="1" x14ac:dyDescent="0.25">
      <c r="A47" s="168"/>
      <c r="B47" s="109"/>
      <c r="C47" s="196"/>
      <c r="D47" s="196"/>
      <c r="E47" s="196"/>
      <c r="F47" s="196"/>
      <c r="G47" s="196"/>
      <c r="H47" s="109"/>
      <c r="I47" s="109"/>
      <c r="J47" s="109"/>
      <c r="K47" s="97"/>
      <c r="L47" s="97"/>
      <c r="M47" s="97"/>
      <c r="N47" s="97"/>
      <c r="O47" s="97"/>
      <c r="P47" s="191"/>
      <c r="Q47" s="191"/>
      <c r="R47" s="191"/>
      <c r="S47" s="191"/>
      <c r="T47" s="191"/>
      <c r="U47"/>
      <c r="V47"/>
      <c r="W47"/>
      <c r="X47"/>
      <c r="Y47"/>
    </row>
    <row r="48" spans="1:25" ht="16.149999999999999" customHeight="1" x14ac:dyDescent="0.25">
      <c r="A48" s="168"/>
      <c r="B48" s="97"/>
      <c r="C48" s="97"/>
      <c r="D48" s="97"/>
      <c r="E48" s="97"/>
      <c r="F48" s="97"/>
      <c r="G48" s="97"/>
      <c r="H48" s="109"/>
      <c r="I48" s="109"/>
      <c r="J48" s="109"/>
      <c r="K48" s="97"/>
      <c r="L48" s="97"/>
      <c r="M48" s="97"/>
      <c r="N48" s="97"/>
      <c r="O48" s="97"/>
      <c r="P48" s="191"/>
      <c r="Q48" s="191"/>
      <c r="R48" s="191"/>
      <c r="S48" s="191"/>
      <c r="T48" s="191"/>
      <c r="U48" s="192"/>
      <c r="V48" s="192"/>
      <c r="W48" s="192"/>
    </row>
    <row r="49" spans="1:23" ht="16.149999999999999" customHeight="1" x14ac:dyDescent="0.25">
      <c r="A49" s="168"/>
      <c r="B49" s="227"/>
      <c r="C49" s="212" t="s">
        <v>238</v>
      </c>
      <c r="D49" s="228"/>
      <c r="E49" s="97"/>
      <c r="F49" s="97"/>
      <c r="G49" s="97"/>
      <c r="H49" s="109"/>
      <c r="I49" s="109"/>
      <c r="J49" s="109"/>
      <c r="K49" s="109"/>
      <c r="L49" s="109"/>
      <c r="M49" s="109"/>
      <c r="N49" s="109"/>
      <c r="O49" s="109"/>
      <c r="P49" s="191"/>
      <c r="Q49" s="191"/>
      <c r="R49" s="191"/>
      <c r="S49" s="191"/>
      <c r="T49" s="191"/>
      <c r="U49" s="192"/>
      <c r="V49" s="192"/>
      <c r="W49" s="192"/>
    </row>
    <row r="50" spans="1:23" ht="16.149999999999999" customHeight="1" x14ac:dyDescent="0.25">
      <c r="A50" s="168"/>
      <c r="B50" s="109"/>
      <c r="C50" s="97"/>
      <c r="D50" s="97"/>
      <c r="E50" s="97"/>
      <c r="F50" s="97"/>
      <c r="G50" s="97"/>
      <c r="H50" s="109"/>
      <c r="I50" s="109"/>
      <c r="J50" s="109"/>
      <c r="K50" s="109"/>
      <c r="L50" s="109"/>
      <c r="M50" s="109"/>
      <c r="N50" s="109"/>
      <c r="O50" s="109"/>
      <c r="P50" s="191"/>
      <c r="Q50" s="191"/>
      <c r="R50" s="191"/>
      <c r="S50" s="191"/>
      <c r="T50" s="191"/>
      <c r="U50" s="192"/>
      <c r="V50" s="192"/>
      <c r="W50" s="192"/>
    </row>
    <row r="51" spans="1:23" ht="25.15" customHeight="1" x14ac:dyDescent="0.25">
      <c r="A51" s="168"/>
      <c r="B51" s="109"/>
      <c r="C51" s="97"/>
      <c r="D51" s="363" t="s">
        <v>148</v>
      </c>
      <c r="E51" s="365" t="s">
        <v>229</v>
      </c>
      <c r="F51" s="365"/>
      <c r="G51" s="363" t="s">
        <v>149</v>
      </c>
      <c r="H51" s="363"/>
      <c r="I51" s="365" t="s">
        <v>230</v>
      </c>
      <c r="J51" s="367" t="s">
        <v>150</v>
      </c>
      <c r="K51" s="369" t="s">
        <v>231</v>
      </c>
      <c r="L51" s="370"/>
      <c r="M51" s="374" t="s">
        <v>162</v>
      </c>
      <c r="N51" s="374"/>
      <c r="O51" s="374"/>
      <c r="P51" s="191"/>
      <c r="Q51" s="109"/>
      <c r="R51" s="191"/>
      <c r="S51" s="191"/>
      <c r="T51" s="191"/>
      <c r="U51" s="192"/>
      <c r="V51" s="192"/>
      <c r="W51" s="192"/>
    </row>
    <row r="52" spans="1:23" ht="16.149999999999999" customHeight="1" thickBot="1" x14ac:dyDescent="0.3">
      <c r="A52" s="168"/>
      <c r="B52" s="109"/>
      <c r="C52" s="97"/>
      <c r="D52" s="364"/>
      <c r="E52" s="366"/>
      <c r="F52" s="366"/>
      <c r="G52" s="364"/>
      <c r="H52" s="364"/>
      <c r="I52" s="366"/>
      <c r="J52" s="368"/>
      <c r="K52" s="371"/>
      <c r="L52" s="372"/>
      <c r="M52" s="374"/>
      <c r="N52" s="374"/>
      <c r="O52" s="374"/>
      <c r="P52" s="191"/>
      <c r="Q52" s="109"/>
      <c r="R52" s="191"/>
      <c r="S52" s="191"/>
      <c r="T52" s="191"/>
      <c r="U52" s="192"/>
      <c r="V52" s="192"/>
      <c r="W52" s="192"/>
    </row>
    <row r="53" spans="1:23" ht="37.9" customHeight="1" thickBot="1" x14ac:dyDescent="0.3">
      <c r="A53" s="168"/>
      <c r="B53" s="99"/>
      <c r="C53" s="201" t="s">
        <v>125</v>
      </c>
      <c r="D53" s="278"/>
      <c r="E53" s="377"/>
      <c r="F53" s="377"/>
      <c r="G53" s="378"/>
      <c r="H53" s="378"/>
      <c r="I53" s="279"/>
      <c r="J53" s="279"/>
      <c r="K53" s="379">
        <f>IF(ISERROR(SEARCH("Inventurmethode",K44)),0,IFERROR(IF(OR(AND(D53=EOMONTH(D53,0),G53=EOMONTH(G53,0)),DAY(D53)=DAY(G53)),((YEAR(G53)-YEAR(D53))*12)-((MONTH(D53))-MONTH(G53)),IF(AND(DAY(D53)=1,G53=EOMONTH(G53,0)),((YEAR(G53)-YEAR(D53))*12)-((MONTH(D53))-MONTH(G53)-1),ROUND((DATEDIF(D53,G53,"d")/365*12),2))),0))</f>
        <v>0</v>
      </c>
      <c r="L53" s="380"/>
      <c r="M53" s="381" t="str" cm="1">
        <f t="array" ref="M53">_xlfn.IFS(ISERROR(SEARCH("Inventurmethode",K44)),0,OR(ISBLANK(D53),ISBLANK(E53),ISBLANK(G53),ISBLANK(I53),ISBLANK(J53)),"fehlende Angaben!",G53&lt;=D53,"Datum letzte Inventur vor vorletzter Inventur!",ISERROR((E53+J53-I53)/K53),"falsche Angaben!",((E53+J53-I53)/K53)&lt;0,"Es ist ein positiver Monatsverbrauch anzugeben!",TRUE(),(E53+J53-I53)/K53)</f>
        <v>fehlende Angaben!</v>
      </c>
      <c r="N53" s="381"/>
      <c r="O53" s="381"/>
      <c r="P53" s="109"/>
      <c r="Q53" s="109"/>
      <c r="R53" s="191"/>
      <c r="S53" s="191"/>
      <c r="T53" s="191"/>
      <c r="U53" s="202"/>
      <c r="V53" s="192"/>
      <c r="W53" s="192"/>
    </row>
    <row r="54" spans="1:23" ht="37.9" customHeight="1" thickBot="1" x14ac:dyDescent="0.3">
      <c r="A54" s="168"/>
      <c r="B54" s="99"/>
      <c r="C54" s="203" t="s">
        <v>118</v>
      </c>
      <c r="D54" s="278"/>
      <c r="E54" s="382"/>
      <c r="F54" s="382"/>
      <c r="G54" s="378"/>
      <c r="H54" s="378"/>
      <c r="I54" s="280"/>
      <c r="J54" s="280"/>
      <c r="K54" s="379">
        <f t="shared" ref="K54:K55" si="0">IF(ISERROR(SEARCH("Inventurmethode",K45)),0,IFERROR(IF(OR(AND(D54=EOMONTH(D54,0),G54=EOMONTH(G54,0)),DAY(D54)=DAY(G54)),((YEAR(G54)-YEAR(D54))*12)-((MONTH(D54))-MONTH(G54)),IF(AND(DAY(D54)=1,G54=EOMONTH(G54,0)),((YEAR(G54)-YEAR(D54))*12)-((MONTH(D54))-MONTH(G54)-1),ROUND((DATEDIF(D54,G54,"d")/365*12),2))),0))</f>
        <v>0</v>
      </c>
      <c r="L54" s="380"/>
      <c r="M54" s="383" t="str" cm="1">
        <f t="array" ref="M54">_xlfn.IFS(ISERROR(SEARCH("Inventurmethode",K45)),0,OR(ISBLANK(D54),ISBLANK(E54),ISBLANK(G54),ISBLANK(I54),ISBLANK(J54)),"fehlende Angaben!",G54&lt;=D54,"Datum letzte Inventur vor vorletzter Inventur!",ISERROR((E54+J54-I54)/K54),"falsche Angaben!",((E54+J54-I54)/K54)&lt;0,"Es ist ein positiver Monatsverbrauch anzugeben!",TRUE(),(E54+J54-I54)/K54)</f>
        <v>fehlende Angaben!</v>
      </c>
      <c r="N54" s="383"/>
      <c r="O54" s="383"/>
      <c r="P54" s="109"/>
      <c r="Q54" s="109"/>
      <c r="R54" s="191"/>
      <c r="S54" s="191"/>
      <c r="T54" s="191"/>
      <c r="U54" s="192"/>
      <c r="V54" s="192"/>
      <c r="W54" s="192"/>
    </row>
    <row r="55" spans="1:23" ht="37.9" customHeight="1" thickBot="1" x14ac:dyDescent="0.3">
      <c r="A55" s="168"/>
      <c r="B55" s="99"/>
      <c r="C55" s="204" t="s">
        <v>119</v>
      </c>
      <c r="D55" s="278"/>
      <c r="E55" s="382"/>
      <c r="F55" s="382"/>
      <c r="G55" s="378"/>
      <c r="H55" s="378"/>
      <c r="I55" s="280"/>
      <c r="J55" s="280"/>
      <c r="K55" s="379">
        <f t="shared" si="0"/>
        <v>0</v>
      </c>
      <c r="L55" s="380"/>
      <c r="M55" s="383" t="str" cm="1">
        <f t="array" ref="M55">_xlfn.IFS(ISERROR(SEARCH("Inventurmethode",K46)),0,OR(ISBLANK(D55),ISBLANK(E55),ISBLANK(G55),ISBLANK(I55),ISBLANK(J55)),"fehlende Angaben!",G55&lt;=D55,"Datum letzte Inventur vor vorletzter Inventur!",ISERROR((E55+J55-I55)/K55),"falsche Angaben!",((E55+J55-I55)/K55)&lt;0,"Es ist ein positiver Monatsverbrauch anzugeben!",TRUE(),(E55+J55-I55)/K55)</f>
        <v>fehlende Angaben!</v>
      </c>
      <c r="N55" s="383"/>
      <c r="O55" s="383"/>
      <c r="P55" s="109"/>
      <c r="Q55" s="109"/>
      <c r="R55" s="168"/>
      <c r="S55" s="191"/>
      <c r="T55" s="191"/>
      <c r="U55" s="192"/>
      <c r="V55" s="192"/>
      <c r="W55" s="192"/>
    </row>
    <row r="56" spans="1:23" ht="19.899999999999999" customHeight="1" x14ac:dyDescent="0.25">
      <c r="A56" s="168"/>
      <c r="B56" s="99"/>
      <c r="C56" s="99"/>
      <c r="D56" s="99"/>
      <c r="E56" s="99"/>
      <c r="F56" s="99"/>
      <c r="G56" s="99"/>
      <c r="H56" s="99"/>
      <c r="I56" s="99"/>
      <c r="J56" s="99"/>
      <c r="K56" s="99"/>
      <c r="L56" s="99"/>
      <c r="M56" s="99"/>
      <c r="N56" s="99"/>
      <c r="O56" s="99"/>
      <c r="P56" s="109"/>
      <c r="Q56" s="205"/>
      <c r="R56" s="109"/>
      <c r="S56" s="191"/>
      <c r="T56" s="191"/>
      <c r="U56" s="192"/>
      <c r="V56" s="192"/>
      <c r="W56" s="192"/>
    </row>
    <row r="57" spans="1:23" ht="19.899999999999999" customHeight="1" x14ac:dyDescent="0.25">
      <c r="A57" s="168"/>
      <c r="B57" s="99"/>
      <c r="C57" s="99"/>
      <c r="D57" s="99"/>
      <c r="E57" s="99"/>
      <c r="F57" s="99"/>
      <c r="G57" s="99"/>
      <c r="H57" s="99"/>
      <c r="I57" s="99"/>
      <c r="J57" s="99"/>
      <c r="K57" s="99"/>
      <c r="L57" s="99"/>
      <c r="M57" s="99"/>
      <c r="N57" s="99"/>
      <c r="O57" s="99"/>
      <c r="P57" s="109"/>
      <c r="Q57" s="99"/>
      <c r="R57" s="99"/>
      <c r="S57" s="99"/>
      <c r="T57" s="99"/>
      <c r="W57" s="95"/>
    </row>
    <row r="58" spans="1:23" ht="19.899999999999999" customHeight="1" x14ac:dyDescent="0.25">
      <c r="A58" s="168"/>
      <c r="B58" s="109"/>
      <c r="C58" s="212" t="s">
        <v>239</v>
      </c>
      <c r="D58" s="97"/>
      <c r="E58" s="97"/>
      <c r="F58" s="97"/>
      <c r="G58" s="97"/>
      <c r="H58" s="109"/>
      <c r="I58" s="109"/>
      <c r="J58" s="109"/>
      <c r="K58" s="109"/>
      <c r="L58" s="109"/>
      <c r="M58" s="109"/>
      <c r="N58" s="109"/>
      <c r="O58" s="109"/>
      <c r="P58" s="191"/>
      <c r="Q58" s="99"/>
      <c r="R58" s="99"/>
      <c r="S58" s="99"/>
      <c r="T58" s="99"/>
      <c r="W58" s="95"/>
    </row>
    <row r="59" spans="1:23" ht="19.899999999999999" customHeight="1" x14ac:dyDescent="0.25">
      <c r="A59" s="168"/>
      <c r="B59" s="109"/>
      <c r="C59" s="229"/>
      <c r="D59" s="97"/>
      <c r="E59" s="97"/>
      <c r="F59" s="97"/>
      <c r="G59" s="97"/>
      <c r="H59" s="109"/>
      <c r="I59" s="109"/>
      <c r="J59" s="109"/>
      <c r="K59" s="109"/>
      <c r="L59" s="109"/>
      <c r="M59" s="99"/>
      <c r="N59" s="109"/>
      <c r="O59" s="109"/>
      <c r="P59" s="191"/>
      <c r="Q59" s="99"/>
      <c r="R59" s="99"/>
      <c r="S59" s="99"/>
      <c r="T59" s="99"/>
      <c r="W59" s="95"/>
    </row>
    <row r="60" spans="1:23" ht="19.899999999999999" customHeight="1" x14ac:dyDescent="0.25">
      <c r="A60" s="168"/>
      <c r="B60" s="109"/>
      <c r="C60" s="229"/>
      <c r="D60" s="399" t="s">
        <v>151</v>
      </c>
      <c r="E60" s="399"/>
      <c r="F60" s="399"/>
      <c r="G60" s="399"/>
      <c r="H60" s="399"/>
      <c r="I60" s="399"/>
      <c r="J60" s="399"/>
      <c r="K60" s="373" t="s">
        <v>152</v>
      </c>
      <c r="L60" s="373"/>
      <c r="M60" s="374" t="s">
        <v>153</v>
      </c>
      <c r="N60" s="374"/>
      <c r="O60" s="374"/>
      <c r="P60" s="191"/>
      <c r="Q60" s="99"/>
      <c r="R60" s="99"/>
      <c r="S60" s="99"/>
      <c r="T60" s="99"/>
      <c r="W60" s="95"/>
    </row>
    <row r="61" spans="1:23" ht="19.899999999999999" customHeight="1" thickBot="1" x14ac:dyDescent="0.3">
      <c r="A61" s="168"/>
      <c r="B61" s="99"/>
      <c r="C61" s="99"/>
      <c r="D61" s="375" t="str">
        <f>"Jahr " &amp; par_Jahr2-3</f>
        <v>Jahr 2020</v>
      </c>
      <c r="E61" s="376"/>
      <c r="F61" s="375" t="str">
        <f>"Jahr " &amp; par_Jahr2-2</f>
        <v>Jahr 2021</v>
      </c>
      <c r="G61" s="376"/>
      <c r="H61" s="375" t="str">
        <f>"Jahr " &amp; par_Jahr2-1</f>
        <v>Jahr 2022</v>
      </c>
      <c r="I61" s="376"/>
      <c r="J61" s="206" t="s">
        <v>154</v>
      </c>
      <c r="K61" s="373"/>
      <c r="L61" s="373"/>
      <c r="M61" s="374"/>
      <c r="N61" s="374"/>
      <c r="O61" s="374"/>
      <c r="P61" s="109"/>
      <c r="Q61" s="99"/>
      <c r="R61" s="99"/>
      <c r="S61" s="99"/>
      <c r="T61" s="99"/>
      <c r="W61" s="95"/>
    </row>
    <row r="62" spans="1:23" ht="37.9" customHeight="1" thickBot="1" x14ac:dyDescent="0.3">
      <c r="A62" s="168"/>
      <c r="B62" s="99"/>
      <c r="C62" s="201" t="s">
        <v>125</v>
      </c>
      <c r="D62" s="377"/>
      <c r="E62" s="377"/>
      <c r="F62" s="377"/>
      <c r="G62" s="377"/>
      <c r="H62" s="377"/>
      <c r="I62" s="377"/>
      <c r="J62" s="230">
        <f>SUM(D62:I62)</f>
        <v>0</v>
      </c>
      <c r="K62" s="397">
        <f>IF(ISERROR(SEARCH("aus Einkäufen der",$K44)),0,36)</f>
        <v>0</v>
      </c>
      <c r="L62" s="397"/>
      <c r="M62" s="398" cm="1">
        <f t="array" ref="M62">_xlfn.IFS(ISERROR(SEARCH("Einkäufen",K44)),0,AND(ISBLANK(D62),ISBLANK(F62),ISBLANK(H62)),"Bitte Jahres-Einkaufsmengen eintragen!",OR(ISBLANK(D62),ISBLANK(F62),ISBLANK(H62)),"Es fehlt mindestens eine Jahres-Einkaufsmenge!",TRUE(),J62/K62)</f>
        <v>0</v>
      </c>
      <c r="N62" s="398"/>
      <c r="O62" s="398"/>
      <c r="P62" s="109"/>
      <c r="Q62" s="99"/>
      <c r="R62" s="99"/>
      <c r="S62" s="99"/>
      <c r="T62" s="99"/>
      <c r="W62" s="95"/>
    </row>
    <row r="63" spans="1:23" ht="37.9" customHeight="1" thickBot="1" x14ac:dyDescent="0.3">
      <c r="A63" s="168"/>
      <c r="B63" s="99"/>
      <c r="C63" s="203" t="s">
        <v>118</v>
      </c>
      <c r="D63" s="382"/>
      <c r="E63" s="382"/>
      <c r="F63" s="382"/>
      <c r="G63" s="382"/>
      <c r="H63" s="382"/>
      <c r="I63" s="382"/>
      <c r="J63" s="257">
        <f t="shared" ref="J63:J64" si="1">SUM(D63:I63)</f>
        <v>0</v>
      </c>
      <c r="K63" s="384">
        <f t="shared" ref="K63:K64" si="2">IF(ISERROR(SEARCH("aus Einkäufen der",$K45)),0,36)</f>
        <v>0</v>
      </c>
      <c r="L63" s="385"/>
      <c r="M63" s="386" cm="1">
        <f t="array" ref="M63">_xlfn.IFS(ISERROR(SEARCH("Einkäufen",K45)),0,AND(ISBLANK(D63),ISBLANK(F63),ISBLANK(H63)),"Bitte Jahres-Einkaufsmengen eintragen!",OR(ISBLANK(D63),ISBLANK(F63),ISBLANK(H63)),"Es fehlt mindestens eine Jahres-Einkaufsmenge!",TRUE(),J63/K63)</f>
        <v>0</v>
      </c>
      <c r="N63" s="386"/>
      <c r="O63" s="386"/>
      <c r="P63" s="109"/>
      <c r="Q63" s="99"/>
      <c r="R63" s="99"/>
      <c r="S63" s="99"/>
      <c r="T63" s="99"/>
      <c r="W63" s="95"/>
    </row>
    <row r="64" spans="1:23" ht="37.9" customHeight="1" thickBot="1" x14ac:dyDescent="0.3">
      <c r="A64" s="168"/>
      <c r="B64" s="99"/>
      <c r="C64" s="204" t="s">
        <v>119</v>
      </c>
      <c r="D64" s="382"/>
      <c r="E64" s="382"/>
      <c r="F64" s="382"/>
      <c r="G64" s="382"/>
      <c r="H64" s="382"/>
      <c r="I64" s="382"/>
      <c r="J64" s="257">
        <f t="shared" si="1"/>
        <v>0</v>
      </c>
      <c r="K64" s="384">
        <f t="shared" si="2"/>
        <v>0</v>
      </c>
      <c r="L64" s="385"/>
      <c r="M64" s="386" cm="1">
        <f t="array" ref="M64">_xlfn.IFS(ISERROR(SEARCH("Einkäufen",K46)),0,AND(ISBLANK(D64),ISBLANK(F64),ISBLANK(H64)),"Bitte Jahres-Einkaufsmengen eintragen!",OR(ISBLANK(D64),ISBLANK(F64),ISBLANK(H64)),"Es fehlt mindestens eine Jahres-Einkaufsmenge!",TRUE(),J64/K64)</f>
        <v>0</v>
      </c>
      <c r="N64" s="386"/>
      <c r="O64" s="386"/>
      <c r="P64" s="109"/>
      <c r="Q64" s="99"/>
      <c r="R64" s="99"/>
      <c r="S64" s="99"/>
      <c r="T64" s="99"/>
      <c r="W64" s="95"/>
    </row>
    <row r="65" spans="1:23" ht="19.899999999999999" customHeight="1" x14ac:dyDescent="0.25">
      <c r="A65" s="97"/>
      <c r="B65" s="99"/>
      <c r="C65" s="99"/>
      <c r="D65" s="99"/>
      <c r="E65" s="99"/>
      <c r="F65" s="99"/>
      <c r="G65" s="99"/>
      <c r="H65" s="99"/>
      <c r="I65" s="99"/>
      <c r="J65" s="99"/>
      <c r="K65" s="99"/>
      <c r="L65" s="99"/>
      <c r="M65" s="99"/>
      <c r="N65" s="99"/>
      <c r="O65" s="99"/>
      <c r="P65" s="109"/>
      <c r="Q65" s="99"/>
      <c r="R65" s="99"/>
      <c r="S65" s="99"/>
      <c r="T65" s="99"/>
      <c r="W65" s="95"/>
    </row>
    <row r="66" spans="1:23" ht="19.899999999999999" customHeight="1" x14ac:dyDescent="0.25">
      <c r="A66" s="97"/>
      <c r="B66" s="99"/>
      <c r="C66" s="99"/>
      <c r="D66" s="99"/>
      <c r="E66" s="99"/>
      <c r="F66" s="99"/>
      <c r="G66" s="99"/>
      <c r="H66" s="99"/>
      <c r="I66" s="99"/>
      <c r="J66" s="99"/>
      <c r="K66" s="99"/>
      <c r="L66" s="99"/>
      <c r="M66" s="99"/>
      <c r="N66" s="99"/>
      <c r="O66" s="99"/>
      <c r="P66" s="109"/>
      <c r="Q66" s="99"/>
      <c r="R66" s="99"/>
      <c r="S66" s="99"/>
      <c r="T66" s="99"/>
      <c r="W66" s="95"/>
    </row>
    <row r="67" spans="1:23" ht="9.6" customHeight="1" x14ac:dyDescent="0.25">
      <c r="A67" s="168"/>
      <c r="B67" s="109"/>
      <c r="C67" s="97"/>
      <c r="D67" s="97"/>
      <c r="E67" s="97"/>
      <c r="F67" s="97"/>
      <c r="G67" s="97"/>
      <c r="H67" s="109"/>
      <c r="I67" s="109"/>
      <c r="J67" s="109"/>
      <c r="K67" s="109"/>
      <c r="L67" s="109"/>
      <c r="M67" s="109"/>
      <c r="N67" s="109"/>
      <c r="O67" s="109"/>
      <c r="P67" s="191"/>
      <c r="Q67" s="169"/>
      <c r="R67" s="169"/>
      <c r="S67" s="169"/>
      <c r="T67" s="169"/>
      <c r="U67" s="192"/>
      <c r="V67" s="192"/>
      <c r="W67" s="192"/>
    </row>
  </sheetData>
  <sheetProtection algorithmName="SHA-512" hashValue="iLvv5YA8TAeY/SfC8CTl2QE3mjH6cqyXEG80mUzJeaKt8ggLqsXexvlO6cFRJ8GirjDssQvYlc/StwwyY2Fr9g==" saltValue="9C75r/BpvfNF7fz8kymO6w==" spinCount="100000" sheet="1" objects="1" scenarios="1"/>
  <mergeCells count="113">
    <mergeCell ref="H4:I4"/>
    <mergeCell ref="H28:I28"/>
    <mergeCell ref="H29:I29"/>
    <mergeCell ref="H30:I30"/>
    <mergeCell ref="C28:F28"/>
    <mergeCell ref="C29:F30"/>
    <mergeCell ref="D35:F35"/>
    <mergeCell ref="D36:F36"/>
    <mergeCell ref="E32:F32"/>
    <mergeCell ref="C32:C38"/>
    <mergeCell ref="B13:C13"/>
    <mergeCell ref="E13:G14"/>
    <mergeCell ref="H13:H14"/>
    <mergeCell ref="B14:C14"/>
    <mergeCell ref="H21:I21"/>
    <mergeCell ref="D64:E64"/>
    <mergeCell ref="F64:G64"/>
    <mergeCell ref="H64:I64"/>
    <mergeCell ref="K64:L64"/>
    <mergeCell ref="M64:O64"/>
    <mergeCell ref="D33:D34"/>
    <mergeCell ref="E33:F34"/>
    <mergeCell ref="E37:F37"/>
    <mergeCell ref="E38:F38"/>
    <mergeCell ref="D62:E62"/>
    <mergeCell ref="F62:G62"/>
    <mergeCell ref="H62:I62"/>
    <mergeCell ref="K62:L62"/>
    <mergeCell ref="M62:O62"/>
    <mergeCell ref="D63:E63"/>
    <mergeCell ref="F63:G63"/>
    <mergeCell ref="H63:I63"/>
    <mergeCell ref="K63:L63"/>
    <mergeCell ref="M63:O63"/>
    <mergeCell ref="E55:F55"/>
    <mergeCell ref="G55:H55"/>
    <mergeCell ref="K55:L55"/>
    <mergeCell ref="M55:O55"/>
    <mergeCell ref="D60:J60"/>
    <mergeCell ref="D51:D52"/>
    <mergeCell ref="E51:F52"/>
    <mergeCell ref="G51:H52"/>
    <mergeCell ref="I51:I52"/>
    <mergeCell ref="J51:J52"/>
    <mergeCell ref="K51:L52"/>
    <mergeCell ref="K60:L61"/>
    <mergeCell ref="M60:O61"/>
    <mergeCell ref="D61:E61"/>
    <mergeCell ref="F61:G61"/>
    <mergeCell ref="H61:I61"/>
    <mergeCell ref="M51:O52"/>
    <mergeCell ref="E53:F53"/>
    <mergeCell ref="G53:H53"/>
    <mergeCell ref="K53:L53"/>
    <mergeCell ref="M53:O53"/>
    <mergeCell ref="E54:F54"/>
    <mergeCell ref="G54:H54"/>
    <mergeCell ref="K54:L54"/>
    <mergeCell ref="M54:O54"/>
    <mergeCell ref="C43:C46"/>
    <mergeCell ref="E43:F43"/>
    <mergeCell ref="E44:F44"/>
    <mergeCell ref="H44:I44"/>
    <mergeCell ref="K44:M44"/>
    <mergeCell ref="E45:F45"/>
    <mergeCell ref="H45:I45"/>
    <mergeCell ref="K45:M45"/>
    <mergeCell ref="E46:F46"/>
    <mergeCell ref="H46:I46"/>
    <mergeCell ref="K46:M46"/>
    <mergeCell ref="K36:L36"/>
    <mergeCell ref="M36:O36"/>
    <mergeCell ref="H37:I37"/>
    <mergeCell ref="K37:L37"/>
    <mergeCell ref="M37:O37"/>
    <mergeCell ref="H38:I38"/>
    <mergeCell ref="K38:L38"/>
    <mergeCell ref="K33:L33"/>
    <mergeCell ref="M33:O33"/>
    <mergeCell ref="H34:I34"/>
    <mergeCell ref="K34:L34"/>
    <mergeCell ref="M34:O34"/>
    <mergeCell ref="H33:I33"/>
    <mergeCell ref="M38:O38"/>
    <mergeCell ref="R24:S24"/>
    <mergeCell ref="E25:F25"/>
    <mergeCell ref="H25:I25"/>
    <mergeCell ref="K25:L25"/>
    <mergeCell ref="M25:O25"/>
    <mergeCell ref="M23:O23"/>
    <mergeCell ref="E24:F24"/>
    <mergeCell ref="H24:I24"/>
    <mergeCell ref="K24:L24"/>
    <mergeCell ref="M24:O24"/>
    <mergeCell ref="K21:L21"/>
    <mergeCell ref="M21:O21"/>
    <mergeCell ref="C19:C25"/>
    <mergeCell ref="E19:F19"/>
    <mergeCell ref="D20:D21"/>
    <mergeCell ref="E20:F21"/>
    <mergeCell ref="H20:I20"/>
    <mergeCell ref="K20:L20"/>
    <mergeCell ref="D22:F23"/>
    <mergeCell ref="K23:L23"/>
    <mergeCell ref="M17:N17"/>
    <mergeCell ref="P17:Q17"/>
    <mergeCell ref="B10:C11"/>
    <mergeCell ref="D10:D11"/>
    <mergeCell ref="E10:G11"/>
    <mergeCell ref="H10:H11"/>
    <mergeCell ref="B12:C12"/>
    <mergeCell ref="E12:G12"/>
    <mergeCell ref="M20:O20"/>
  </mergeCells>
  <conditionalFormatting sqref="C53:O55">
    <cfRule type="expression" dxfId="28" priority="21">
      <formula>ISERROR(SEARCH("Inventurmethode",$K44))</formula>
    </cfRule>
  </conditionalFormatting>
  <conditionalFormatting sqref="C62:O64">
    <cfRule type="expression" dxfId="27" priority="20">
      <formula>ISERROR(SEARCH("aus Einkäufen der",$K44))</formula>
    </cfRule>
  </conditionalFormatting>
  <conditionalFormatting sqref="D20:F21 H20:S21 H28:J28 D33:F34 H33:S34 D44:F44 H44:M44 C53:O53 C62:O62 M63:O64">
    <cfRule type="expression" dxfId="26" priority="12">
      <formula>$D$12&lt;&gt;"JA"</formula>
    </cfRule>
  </conditionalFormatting>
  <conditionalFormatting sqref="D24:F24 H24:Q24 H29:J29 D37:F37 H37:Q37 D45:F45 H45:M45 C54:O54 C63:O63">
    <cfRule type="expression" dxfId="25" priority="11">
      <formula>$D$13&lt;&gt;"JA"</formula>
    </cfRule>
  </conditionalFormatting>
  <conditionalFormatting sqref="D25:F25 H25:Q25 H30:J30 D38:F38 H38:Q38 D46:F46 H46:M46 C55:O55 C64:O64">
    <cfRule type="expression" dxfId="24" priority="10">
      <formula>$D$14&lt;&gt;"JA"</formula>
    </cfRule>
  </conditionalFormatting>
  <conditionalFormatting sqref="K34:O34">
    <cfRule type="expression" dxfId="23" priority="4">
      <formula>$J$28&lt;&gt;"JA"</formula>
    </cfRule>
  </conditionalFormatting>
  <conditionalFormatting sqref="K37:O37">
    <cfRule type="expression" dxfId="22" priority="3">
      <formula>$J$29&lt;&gt;"JA"</formula>
    </cfRule>
    <cfRule type="expression" dxfId="21" priority="1">
      <formula>AND($J$29&lt;&gt;"JA",$J$30&lt;&gt;"JA")</formula>
    </cfRule>
  </conditionalFormatting>
  <conditionalFormatting sqref="K38:O38">
    <cfRule type="expression" dxfId="20" priority="2">
      <formula>$J$30&lt;&gt;"JA"</formula>
    </cfRule>
  </conditionalFormatting>
  <dataValidations count="6">
    <dataValidation type="list" allowBlank="1" showInputMessage="1" showErrorMessage="1" sqref="J12:J14 H13:H14">
      <formula1>"NEIN,JA"</formula1>
    </dataValidation>
    <dataValidation type="list" allowBlank="1" showInputMessage="1" showErrorMessage="1" sqref="J28:J30 H12">
      <formula1>"JA,NEIN"</formula1>
    </dataValidation>
    <dataValidation type="date" operator="greaterThanOrEqual" allowBlank="1" showInputMessage="1" showErrorMessage="1" errorTitle="Bitte korrektes Datum eintragen!" error="Es ist ein Datum nach dem 01.01.2021 einzutragen. " sqref="D53:D55 G53:H55">
      <formula1>44197</formula1>
    </dataValidation>
    <dataValidation type="list" allowBlank="1" showInputMessage="1" showErrorMessage="1" sqref="K39 G40:G47 K31">
      <formula1>Lastprofilzähler</formula1>
    </dataValidation>
    <dataValidation type="list" allowBlank="1" showInputMessage="1" showErrorMessage="1" sqref="K44:M46">
      <formula1>Auswahl_Methode</formula1>
    </dataValidation>
    <dataValidation type="list" showInputMessage="1" showErrorMessage="1" errorTitle="Das Feld muss JA oder NEIN sein" error="Das Feld muss JA oder NEIN enthalten!" sqref="D12:D14">
      <formula1>"JA,NEIN"</formula1>
    </dataValidation>
  </dataValidations>
  <pageMargins left="0.70866141732283472" right="0.70866141732283472" top="0.78740157480314965" bottom="0.78740157480314965" header="0.31496062992125984" footer="0.31496062992125984"/>
  <pageSetup paperSize="9" scale="10" orientation="portrait" r:id="rId1"/>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Tabelle4">
    <tabColor rgb="FF000066"/>
  </sheetPr>
  <dimension ref="B2:Y56"/>
  <sheetViews>
    <sheetView showGridLines="0" showZeros="0" zoomScale="85" zoomScaleNormal="85" workbookViewId="0"/>
  </sheetViews>
  <sheetFormatPr baseColWidth="10" defaultColWidth="11.42578125" defaultRowHeight="15" x14ac:dyDescent="0.25"/>
  <cols>
    <col min="1" max="1" width="2.28515625" style="25" customWidth="1"/>
    <col min="2" max="2" width="11.42578125" style="25" customWidth="1"/>
    <col min="3" max="7" width="11.42578125" style="25"/>
    <col min="8" max="8" width="8.7109375" style="25" customWidth="1"/>
    <col min="9" max="9" width="22.85546875" style="25" customWidth="1"/>
    <col min="10" max="11" width="11.42578125" style="25"/>
    <col min="12" max="12" width="12.7109375" style="25" customWidth="1"/>
    <col min="13" max="13" width="11.42578125" style="25" customWidth="1"/>
    <col min="14" max="15" width="12.7109375" style="25" customWidth="1"/>
    <col min="16" max="16" width="11.42578125" style="25"/>
    <col min="17" max="17" width="19.42578125" style="25" customWidth="1"/>
    <col min="18" max="24" width="11.42578125" style="25"/>
    <col min="25" max="25" width="13.42578125" style="25" customWidth="1"/>
    <col min="26" max="16384" width="11.42578125" style="25"/>
  </cols>
  <sheetData>
    <row r="2" spans="2:25" ht="27" x14ac:dyDescent="0.5">
      <c r="B2" s="27" t="s">
        <v>0</v>
      </c>
    </row>
    <row r="3" spans="2:25" ht="18.75" x14ac:dyDescent="0.3">
      <c r="B3" s="28" t="str">
        <f>"In vier Schritten zur Berechnung Ihres möglichen Zuschusses in der " &amp; par_EZ_Stufe &amp; " (für Unternehmen mit Energie-, Strom- und Treibstoffbeschaffungskosten bis EUR " &amp; par_EZ_Grenze_txt &amp; ".)"</f>
        <v>In vier Schritten zur Berechnung Ihres möglichen Zuschusses in der Basisstufe (für Unternehmen mit Energie-, Strom- und Treibstoffbeschaffungskosten bis EUR 80 Mio.)</v>
      </c>
    </row>
    <row r="5" spans="2:25" x14ac:dyDescent="0.25">
      <c r="I5" s="75"/>
      <c r="J5" s="75"/>
    </row>
    <row r="6" spans="2:25" ht="18.75" x14ac:dyDescent="0.4">
      <c r="B6" s="36" t="s">
        <v>37</v>
      </c>
      <c r="C6" s="32"/>
      <c r="D6" s="32"/>
      <c r="E6" s="32"/>
      <c r="F6" s="32"/>
      <c r="G6" s="32"/>
      <c r="H6" s="32"/>
      <c r="I6" s="32"/>
      <c r="J6" s="32"/>
      <c r="K6" s="32"/>
      <c r="L6" s="32"/>
      <c r="M6" s="32"/>
      <c r="N6" s="32"/>
      <c r="O6" s="32"/>
      <c r="P6" s="32"/>
      <c r="Q6" s="32"/>
      <c r="R6" s="32"/>
      <c r="S6" s="32"/>
      <c r="T6" s="32"/>
      <c r="U6" s="32"/>
      <c r="V6" s="32"/>
      <c r="W6" s="32"/>
      <c r="X6" s="32"/>
      <c r="Y6" s="80"/>
    </row>
    <row r="7" spans="2:25" ht="18.75" x14ac:dyDescent="0.4">
      <c r="B7" s="36"/>
      <c r="C7" s="32"/>
      <c r="D7" s="32"/>
      <c r="E7" s="32"/>
      <c r="F7" s="32"/>
      <c r="G7" s="32"/>
      <c r="H7" s="32"/>
      <c r="I7" s="32"/>
      <c r="J7" s="32"/>
      <c r="K7" s="32"/>
      <c r="L7" s="32"/>
      <c r="M7" s="32"/>
      <c r="N7" s="32"/>
      <c r="O7" s="32"/>
      <c r="P7" s="32"/>
      <c r="Q7" s="32"/>
      <c r="R7" s="32"/>
      <c r="S7" s="32"/>
      <c r="T7" s="32"/>
      <c r="U7" s="32"/>
      <c r="V7" s="32"/>
      <c r="W7" s="32"/>
      <c r="X7" s="32"/>
      <c r="Y7" s="80"/>
    </row>
    <row r="8" spans="2:25" ht="18.75" x14ac:dyDescent="0.4">
      <c r="B8" s="36" t="s">
        <v>15</v>
      </c>
      <c r="C8" s="32"/>
      <c r="D8" s="32"/>
      <c r="E8" s="32"/>
      <c r="F8" s="32"/>
      <c r="G8" s="32"/>
      <c r="H8" s="32"/>
      <c r="I8" s="59">
        <f>IFERROR(MAX(('2 - Strom Erdgas Wärme Förderj.'!H19*par_Strom_ZQ*(MIN(ROUND('2 - Strom Erdgas Wärme Förderj.'!H13,0),par_Strom_kWh_max)+ROUND('2 - Strom Erdgas Wärme Förderj.'!H14,0))),0),0)</f>
        <v>0</v>
      </c>
      <c r="J8" s="36" t="s">
        <v>12</v>
      </c>
      <c r="K8" s="33" t="s">
        <v>4</v>
      </c>
      <c r="L8" s="109" t="str">
        <f>"Die Zuschusshöhe errechnet sich wie folgt: Preisanstieg x Verbrauch (bei Zählpunkten ohne Lastprofilzähler max. " &amp; TEXT(par_Strom_kWh_max,"#.##0")&amp; " kWh) x " &amp; par_Strom_ZQ*100 &amp; " % Zuschussquote."</f>
        <v>Die Zuschusshöhe errechnet sich wie folgt: Preisanstieg x Verbrauch (bei Zählpunkten ohne Lastprofilzähler max. 1.000.000 kWh) x 50 % Zuschussquote.</v>
      </c>
      <c r="M8" s="109"/>
      <c r="N8" s="109"/>
      <c r="O8" s="109"/>
      <c r="P8" s="109"/>
      <c r="Q8" s="109"/>
      <c r="R8" s="109"/>
      <c r="S8" s="109"/>
      <c r="T8" s="109"/>
      <c r="U8" s="109"/>
      <c r="V8" s="109"/>
      <c r="W8" s="109"/>
      <c r="X8" s="109"/>
      <c r="Y8" s="80"/>
    </row>
    <row r="9" spans="2:25" ht="18.75" x14ac:dyDescent="0.4">
      <c r="B9" s="36" t="s">
        <v>18</v>
      </c>
      <c r="C9" s="32"/>
      <c r="D9" s="32"/>
      <c r="E9" s="32"/>
      <c r="F9" s="32"/>
      <c r="G9" s="32"/>
      <c r="H9" s="32"/>
      <c r="I9" s="59">
        <f>IFERROR(MAX(('2 - Strom Erdgas Wärme Förderj.'!H28*par_Erdgas_ZQ*(MIN(ROUND('2 - Strom Erdgas Wärme Förderj.'!H22,0),par_Erdgas_kWh_max)+ROUND('2 - Strom Erdgas Wärme Förderj.'!H23,0))),0),0)</f>
        <v>0</v>
      </c>
      <c r="J9" s="36" t="s">
        <v>12</v>
      </c>
      <c r="K9" s="33" t="s">
        <v>4</v>
      </c>
      <c r="L9" s="109" t="str">
        <f>"Die Zuschusshöhe errechnet sich wie folgt: Preisanstieg x Verbrauch (bei Zählpunkten ohne Lastprofilzähler max. " &amp; TEXT(par_Erdgas_kWh_max,"#.##0")&amp; " kWh) x " &amp; par_Erdgas_ZQ*100 &amp; " % Zuschussquote."</f>
        <v>Die Zuschusshöhe errechnet sich wie folgt: Preisanstieg x Verbrauch (bei Zählpunkten ohne Lastprofilzähler max. 1.000.000 kWh) x 50 % Zuschussquote.</v>
      </c>
      <c r="M9" s="244"/>
      <c r="N9" s="244"/>
      <c r="O9" s="110"/>
      <c r="P9" s="109"/>
      <c r="Q9" s="109"/>
      <c r="R9" s="109"/>
      <c r="S9" s="109"/>
      <c r="T9" s="109"/>
      <c r="U9" s="109"/>
      <c r="V9" s="109"/>
      <c r="W9" s="109"/>
      <c r="X9" s="109"/>
      <c r="Y9" s="80"/>
    </row>
    <row r="10" spans="2:25" ht="18.75" x14ac:dyDescent="0.4">
      <c r="B10" s="36" t="s">
        <v>53</v>
      </c>
      <c r="C10" s="32"/>
      <c r="D10" s="32"/>
      <c r="E10" s="32"/>
      <c r="F10" s="32"/>
      <c r="G10" s="32"/>
      <c r="H10" s="32"/>
      <c r="I10" s="76">
        <f>IFERROR(MAX(('2 - Strom Erdgas Wärme Förderj.'!H38*par_WK_ZQ*ROUND('2 - Strom Erdgas Wärme Förderj.'!H34/100,4)*(MIN(ROUND('2 - Strom Erdgas Wärme Förderj.'!H31,0),par_WK_kWh_max)+ROUND('2 - Strom Erdgas Wärme Förderj.'!H32,0))),0),"")</f>
        <v>0</v>
      </c>
      <c r="J10" s="36" t="s">
        <v>12</v>
      </c>
      <c r="K10" s="33" t="s">
        <v>4</v>
      </c>
      <c r="L10" s="109" t="str">
        <f>"Die Zuschusshöhe errechnet sich wie folgt: Preisanstieg x Verbrauch (bei Zählpunkten ohne Lastprofilzähler max. " &amp; TEXT(par_WK_kWh_max,"#.##0")&amp; " kWh) x " &amp; par_WK_ZQ*100 &amp; " % Zuschussquote."</f>
        <v>Die Zuschusshöhe errechnet sich wie folgt: Preisanstieg x Verbrauch (bei Zählpunkten ohne Lastprofilzähler max. 1.000.000 kWh) x 50 % Zuschussquote.</v>
      </c>
      <c r="M10" s="244"/>
      <c r="N10" s="244"/>
      <c r="O10" s="110"/>
      <c r="P10" s="109"/>
      <c r="Q10" s="109"/>
      <c r="R10" s="109"/>
      <c r="S10" s="109"/>
      <c r="T10" s="109"/>
      <c r="U10" s="109"/>
      <c r="V10" s="109"/>
      <c r="W10" s="109"/>
      <c r="X10" s="109"/>
      <c r="Y10" s="80"/>
    </row>
    <row r="11" spans="2:25" ht="18.75" x14ac:dyDescent="0.4">
      <c r="B11" s="36" t="s">
        <v>38</v>
      </c>
      <c r="C11" s="32"/>
      <c r="D11" s="32"/>
      <c r="E11" s="32"/>
      <c r="F11" s="32"/>
      <c r="G11" s="32"/>
      <c r="H11" s="32"/>
      <c r="I11" s="59">
        <f>IFERROR(MAX((MAX(('3 - Treibstoffe'!C29-par_Treibstoff_BasisPreisanstieg)*ROUND('3 - Treibstoffe'!C28,0),0)*par_TS_ZQ),0),0)</f>
        <v>0</v>
      </c>
      <c r="J11" s="36" t="s">
        <v>12</v>
      </c>
      <c r="K11" s="33" t="s">
        <v>4</v>
      </c>
      <c r="L11" s="109" t="str">
        <f>"Die Zuschusshöhe errechnet sich, indem der Preisanstieg (d.h. der durchschnittliche Nettopreis - " &amp; par_Treibstoff_BasisPreisanstieg*100 &amp; " Cent) mit dem Verbrauch und der Zuschussquote von " &amp; par_TS_ZQ*100 &amp; " % multipliziert wird."</f>
        <v>Die Zuschusshöhe errechnet sich, indem der Preisanstieg (d.h. der durchschnittliche Nettopreis - 60 Cent) mit dem Verbrauch und der Zuschussquote von 50 % multipliziert wird.</v>
      </c>
      <c r="M11" s="244"/>
      <c r="N11" s="244"/>
      <c r="O11" s="110"/>
      <c r="P11" s="109"/>
      <c r="Q11" s="109"/>
      <c r="R11" s="109"/>
      <c r="S11" s="109"/>
      <c r="T11" s="109"/>
      <c r="U11" s="109"/>
      <c r="V11" s="109"/>
      <c r="W11" s="109"/>
      <c r="X11" s="109"/>
      <c r="Y11" s="80"/>
    </row>
    <row r="12" spans="2:25" ht="18.75" x14ac:dyDescent="0.4">
      <c r="B12" s="36" t="s">
        <v>120</v>
      </c>
      <c r="C12" s="32"/>
      <c r="D12" s="32"/>
      <c r="E12" s="32"/>
      <c r="F12" s="32"/>
      <c r="G12" s="32"/>
      <c r="H12" s="32"/>
      <c r="I12" s="76">
        <f>IFERROR(MAX(((ROUND('4 - Heizöl_Holzpellets_Hacksch.'!E20,4)-ROUND('4 - Heizöl_Holzpellets_Hacksch.'!E33,4))*ROUND('4 - Heizöl_Holzpellets_Hacksch.'!E44,0)*par_HZetc_ZQ),0),0)</f>
        <v>0</v>
      </c>
      <c r="J12" s="36" t="s">
        <v>12</v>
      </c>
      <c r="K12" s="33" t="s">
        <v>4</v>
      </c>
      <c r="L12" s="109" t="str">
        <f>"Die Zuschusshöhe errechnet sich wie folgt: (Durchschnittspreis/Liter im Förderzeitraum - Durchschnittspreis/Liter im Vergleichszeitraum) x förderfähiger Menge x " &amp; par_Strom_ZQ*100 &amp; " % Zuschussquote."</f>
        <v>Die Zuschusshöhe errechnet sich wie folgt: (Durchschnittspreis/Liter im Förderzeitraum - Durchschnittspreis/Liter im Vergleichszeitraum) x förderfähiger Menge x 50 % Zuschussquote.</v>
      </c>
      <c r="M12" s="244"/>
      <c r="N12" s="244"/>
      <c r="O12" s="110"/>
      <c r="P12" s="109"/>
      <c r="Q12" s="109"/>
      <c r="R12" s="109"/>
      <c r="S12" s="109"/>
      <c r="T12" s="109"/>
      <c r="U12" s="109"/>
      <c r="V12" s="109"/>
      <c r="W12" s="109"/>
      <c r="X12" s="109"/>
      <c r="Y12" s="80"/>
    </row>
    <row r="13" spans="2:25" ht="18.75" x14ac:dyDescent="0.4">
      <c r="B13" s="36" t="s">
        <v>118</v>
      </c>
      <c r="C13" s="32"/>
      <c r="D13" s="32"/>
      <c r="E13" s="32"/>
      <c r="F13" s="32"/>
      <c r="G13" s="32"/>
      <c r="H13" s="32"/>
      <c r="I13" s="76">
        <f>IFERROR(MAX(((ROUND('4 - Heizöl_Holzpellets_Hacksch.'!E24,4)-ROUND('4 - Heizöl_Holzpellets_Hacksch.'!E37,4))*ROUND('4 - Heizöl_Holzpellets_Hacksch.'!E45,4)*par_HZetc_ZQ),0),0)</f>
        <v>0</v>
      </c>
      <c r="J13" s="36" t="s">
        <v>12</v>
      </c>
      <c r="K13" s="33" t="s">
        <v>4</v>
      </c>
      <c r="L13" s="109" t="str">
        <f>"Die Zuschusshöhe errechnet sich wie folgt: (Durchschnittspreis/Tonne im Förderzeitraum - Durchschnittspreis/Tonne im Vergleichszeitraum) x förderfähiger Menge x " &amp; par_Strom_ZQ*100 &amp; " % Zuschussquote."</f>
        <v>Die Zuschusshöhe errechnet sich wie folgt: (Durchschnittspreis/Tonne im Förderzeitraum - Durchschnittspreis/Tonne im Vergleichszeitraum) x förderfähiger Menge x 50 % Zuschussquote.</v>
      </c>
      <c r="M13" s="244"/>
      <c r="N13" s="244"/>
      <c r="O13" s="110"/>
      <c r="P13" s="109"/>
      <c r="Q13" s="109"/>
      <c r="R13" s="109"/>
      <c r="S13" s="109"/>
      <c r="T13" s="109"/>
      <c r="U13" s="109"/>
      <c r="V13" s="109"/>
      <c r="W13" s="109"/>
      <c r="X13" s="109"/>
      <c r="Y13" s="80"/>
    </row>
    <row r="14" spans="2:25" ht="18.75" x14ac:dyDescent="0.4">
      <c r="B14" s="36" t="s">
        <v>119</v>
      </c>
      <c r="C14" s="32"/>
      <c r="D14" s="32"/>
      <c r="E14" s="32"/>
      <c r="F14" s="32"/>
      <c r="G14" s="32"/>
      <c r="H14" s="32"/>
      <c r="I14" s="76">
        <f>IFERROR(MAX(((ROUND('4 - Heizöl_Holzpellets_Hacksch.'!E25,4)-ROUND('4 - Heizöl_Holzpellets_Hacksch.'!E38,4))*ROUND('4 - Heizöl_Holzpellets_Hacksch.'!E46,4)*par_HZetc_ZQ),0),0)</f>
        <v>0</v>
      </c>
      <c r="J14" s="36" t="s">
        <v>12</v>
      </c>
      <c r="K14" s="33" t="s">
        <v>4</v>
      </c>
      <c r="L14" s="109" t="str">
        <f>"Die Zuschusshöhe errechnet sich wie folgt: (Durchschnittspreis/Tonne im Förderzeitraum - Durchschnittspreis/Tonne im Vergleichszeitraum) x förderfähiger Menge x " &amp; par_Strom_ZQ*100 &amp; " % Zuschussquote."</f>
        <v>Die Zuschusshöhe errechnet sich wie folgt: (Durchschnittspreis/Tonne im Förderzeitraum - Durchschnittspreis/Tonne im Vergleichszeitraum) x förderfähiger Menge x 50 % Zuschussquote.</v>
      </c>
      <c r="M14" s="244"/>
      <c r="N14" s="244"/>
      <c r="O14" s="110"/>
      <c r="P14" s="109"/>
      <c r="Q14" s="109"/>
      <c r="R14" s="109"/>
      <c r="S14" s="109"/>
      <c r="T14" s="109"/>
      <c r="U14" s="109"/>
      <c r="V14" s="109"/>
      <c r="W14" s="109"/>
      <c r="X14" s="109"/>
      <c r="Y14" s="80"/>
    </row>
    <row r="15" spans="2:25" ht="18.75" x14ac:dyDescent="0.4">
      <c r="B15" s="60"/>
      <c r="C15" s="60"/>
      <c r="D15" s="60"/>
      <c r="E15" s="32"/>
      <c r="F15" s="53"/>
      <c r="G15" s="53"/>
      <c r="H15" s="61"/>
      <c r="I15" s="61"/>
      <c r="J15" s="62"/>
      <c r="K15" s="33"/>
      <c r="L15" s="109"/>
      <c r="M15" s="244"/>
      <c r="N15" s="244"/>
      <c r="O15" s="110"/>
      <c r="P15" s="109"/>
      <c r="Q15" s="109"/>
      <c r="R15" s="109"/>
      <c r="S15" s="109"/>
      <c r="T15" s="109"/>
      <c r="U15" s="109"/>
      <c r="V15" s="109"/>
      <c r="W15" s="109"/>
      <c r="X15" s="109"/>
      <c r="Y15" s="80"/>
    </row>
    <row r="16" spans="2:25" ht="18.75" x14ac:dyDescent="0.4">
      <c r="B16" s="60" t="s">
        <v>39</v>
      </c>
      <c r="C16" s="60"/>
      <c r="D16" s="60"/>
      <c r="E16" s="32"/>
      <c r="F16" s="63"/>
      <c r="G16" s="63"/>
      <c r="H16" s="63"/>
      <c r="I16" s="59">
        <f>IFERROR(MIN(IF((SUM(I8:I14))&gt;=par_Zuschuss_Untergrenze,IF(SUM(I8:I14)&lt;=par_Pauschalgrenze,SUM(I8:I14)+par_Zuschuss_Pauschal,SUM(I8:I14)),0),par_Zuschuss_max),"")</f>
        <v>0</v>
      </c>
      <c r="J16" s="36" t="s">
        <v>12</v>
      </c>
      <c r="K16" s="33" t="s">
        <v>4</v>
      </c>
      <c r="L16" s="426" t="str">
        <f>IF(SUM(I8:I14)&lt;par_Zuschuss_Untergrenze,"Der mögliche Gesamtzuschuss liegt unter der betragsmäßigen Untergrenze von EUR " &amp; par_Zuschuss_Untergrenze&amp; ",- ",IF(SUM(I8:I14)&lt;=par_Pauschalgrenze,"Die Berechnung des Zuschusses (max. " &amp; TEXT(par_Zuschuss_max,"#.##0") &amp; " EUR) erfolgt auf Basis Ihrer Angaben, die im Zuge der Antragstellung geprüft werden können. Der Energiekostenzuschuss beinhaltet einen Pauschalbetrag in Höhe von € " &amp; par_Zuschuss_Pauschal &amp; ",- zur Abdeckung der Steuerberatungskosten.","Die Berechnung des Zuschusses (max. " &amp; TEXT(par_Zuschuss_max,"#.##0") &amp; " EUR) erfolgt auf Basis Ihrer Angaben, die im Zuge der Antragstellung geprüft werden können."))</f>
        <v xml:space="preserve">Der mögliche Gesamtzuschuss liegt unter der betragsmäßigen Untergrenze von EUR 1500,- </v>
      </c>
      <c r="M16" s="427"/>
      <c r="N16" s="427"/>
      <c r="O16" s="427"/>
      <c r="P16" s="427"/>
      <c r="Q16" s="427"/>
      <c r="R16" s="427"/>
      <c r="S16" s="427"/>
      <c r="T16" s="427"/>
      <c r="U16" s="427"/>
      <c r="V16" s="427"/>
      <c r="W16" s="427"/>
      <c r="X16" s="427"/>
      <c r="Y16" s="241">
        <f>IFERROR(IF(SUM(I8:I14)&lt;par_Zuschuss_Untergrenze,1,0),0)</f>
        <v>1</v>
      </c>
    </row>
    <row r="17" spans="2:25" ht="16.5" x14ac:dyDescent="0.3">
      <c r="B17" s="32"/>
      <c r="C17" s="32"/>
      <c r="D17" s="32"/>
      <c r="E17" s="32"/>
      <c r="F17" s="53"/>
      <c r="G17" s="53"/>
      <c r="H17" s="53"/>
      <c r="I17" s="53"/>
      <c r="J17" s="53"/>
      <c r="K17" s="53"/>
      <c r="L17" s="427"/>
      <c r="M17" s="427"/>
      <c r="N17" s="427"/>
      <c r="O17" s="427"/>
      <c r="P17" s="427"/>
      <c r="Q17" s="427"/>
      <c r="R17" s="427"/>
      <c r="S17" s="427"/>
      <c r="T17" s="427"/>
      <c r="U17" s="427"/>
      <c r="V17" s="427"/>
      <c r="W17" s="427"/>
      <c r="X17" s="427"/>
      <c r="Y17" s="80"/>
    </row>
    <row r="18" spans="2:25" ht="18.75" x14ac:dyDescent="0.4">
      <c r="B18" s="60" t="str">
        <f>IF(I16&gt;=par_Zuschuss_EBITDAgrenze,"Der vorläufige Zuschuss übersteigt die Grenze von EUR " &amp; TEXT(par_Zuschuss_EBITDAgrenze,"#.##0") &amp; ". Um einen Zuschuss von mehr als EUR 125.000 zu erreichen, sind weitere Angaben erforderlich:","")</f>
        <v/>
      </c>
      <c r="C18" s="60"/>
      <c r="D18" s="60"/>
      <c r="E18" s="32"/>
      <c r="F18" s="53"/>
      <c r="G18" s="53"/>
      <c r="H18" s="61"/>
      <c r="I18" s="61"/>
      <c r="J18" s="62"/>
      <c r="K18" s="33"/>
      <c r="L18" s="32"/>
      <c r="M18" s="53"/>
      <c r="N18" s="53"/>
      <c r="O18" s="33"/>
      <c r="P18" s="32"/>
      <c r="Q18" s="32"/>
      <c r="R18" s="32"/>
      <c r="S18" s="32"/>
      <c r="T18" s="32"/>
      <c r="U18" s="32"/>
      <c r="V18" s="32"/>
      <c r="W18" s="32"/>
      <c r="X18" s="32"/>
      <c r="Y18" s="80"/>
    </row>
    <row r="19" spans="2:25" ht="10.15" customHeight="1" x14ac:dyDescent="0.4">
      <c r="B19" s="60"/>
      <c r="C19" s="60"/>
      <c r="D19" s="60"/>
      <c r="E19" s="32"/>
      <c r="F19" s="53"/>
      <c r="G19" s="53"/>
      <c r="H19" s="61"/>
      <c r="I19" s="61"/>
      <c r="J19" s="62"/>
      <c r="K19" s="33"/>
      <c r="L19" s="32"/>
      <c r="M19" s="53"/>
      <c r="N19" s="53"/>
      <c r="O19" s="33"/>
      <c r="P19" s="32"/>
      <c r="Q19" s="32"/>
      <c r="R19" s="32"/>
      <c r="S19" s="32"/>
      <c r="T19" s="32"/>
      <c r="U19" s="32"/>
      <c r="V19" s="32"/>
      <c r="W19" s="32"/>
      <c r="X19" s="32"/>
      <c r="Y19" s="80"/>
    </row>
    <row r="20" spans="2:25" ht="14.45" customHeight="1" x14ac:dyDescent="0.25">
      <c r="B20" s="80"/>
      <c r="C20" s="80"/>
      <c r="D20" s="80"/>
      <c r="E20" s="80"/>
      <c r="F20" s="80"/>
      <c r="G20" s="80"/>
      <c r="H20" s="80"/>
      <c r="I20" s="80"/>
      <c r="J20" s="80"/>
      <c r="K20" s="423"/>
      <c r="L20" s="338"/>
      <c r="M20" s="338"/>
      <c r="N20" s="338"/>
      <c r="O20" s="338"/>
      <c r="P20" s="338"/>
      <c r="Q20" s="338"/>
      <c r="R20" s="338"/>
      <c r="S20" s="338"/>
      <c r="T20" s="338"/>
      <c r="U20" s="338"/>
      <c r="V20" s="338"/>
      <c r="W20" s="338"/>
      <c r="X20" s="80"/>
      <c r="Y20" s="243"/>
    </row>
    <row r="21" spans="2:25" ht="18" customHeight="1" thickBot="1" x14ac:dyDescent="0.35">
      <c r="B21" s="89" t="s">
        <v>144</v>
      </c>
      <c r="C21" s="89"/>
      <c r="D21" s="32"/>
      <c r="E21" s="80"/>
      <c r="F21" s="80"/>
      <c r="G21" s="80"/>
      <c r="H21" s="80"/>
      <c r="I21" s="80"/>
      <c r="J21" s="80"/>
      <c r="K21" s="423"/>
      <c r="L21" s="338"/>
      <c r="M21" s="338"/>
      <c r="N21" s="338"/>
      <c r="O21" s="338"/>
      <c r="P21" s="338"/>
      <c r="Q21" s="338"/>
      <c r="R21" s="338"/>
      <c r="S21" s="338"/>
      <c r="T21" s="338"/>
      <c r="U21" s="338"/>
      <c r="V21" s="338"/>
      <c r="W21" s="338"/>
      <c r="X21" s="243"/>
      <c r="Y21" s="243"/>
    </row>
    <row r="22" spans="2:25" ht="29.65" customHeight="1" thickBot="1" x14ac:dyDescent="0.3">
      <c r="B22" s="428" t="s">
        <v>145</v>
      </c>
      <c r="C22" s="428"/>
      <c r="D22" s="429" t="s">
        <v>185</v>
      </c>
      <c r="E22" s="430"/>
      <c r="F22" s="430"/>
      <c r="G22" s="431"/>
      <c r="H22" s="97"/>
      <c r="I22" s="97"/>
      <c r="J22" s="80"/>
      <c r="K22" s="423" t="s">
        <v>4</v>
      </c>
      <c r="L22" s="338" t="s">
        <v>242</v>
      </c>
      <c r="M22" s="338"/>
      <c r="N22" s="338"/>
      <c r="O22" s="338"/>
      <c r="P22" s="338"/>
      <c r="Q22" s="338"/>
      <c r="R22" s="338"/>
      <c r="S22" s="338"/>
      <c r="T22" s="338"/>
      <c r="U22" s="338"/>
      <c r="V22" s="338"/>
      <c r="W22" s="338"/>
      <c r="X22" s="124">
        <f>IF(AND(D22="Betriebsverlustmethode",H24&lt;0,H24&gt;=-125000),125000,IF(AND(D22="Betriebsverlustmethode",H24&lt;0,H24&lt;-125000,Zuschuss_vorläufig&gt;(H24*-1)),H24*-1,Zuschuss_vorläufig))</f>
        <v>0</v>
      </c>
      <c r="Y22" s="246"/>
    </row>
    <row r="23" spans="2:25" ht="9.6" customHeight="1" thickBot="1" x14ac:dyDescent="0.3">
      <c r="B23" s="97"/>
      <c r="C23" s="97"/>
      <c r="D23" s="97"/>
      <c r="E23" s="97"/>
      <c r="F23" s="97"/>
      <c r="G23" s="97"/>
      <c r="H23" s="97"/>
      <c r="I23" s="97"/>
      <c r="J23" s="80"/>
      <c r="K23" s="423"/>
      <c r="L23" s="243"/>
      <c r="M23" s="243"/>
      <c r="N23" s="243"/>
      <c r="O23" s="243"/>
      <c r="P23" s="243"/>
      <c r="Q23" s="243"/>
      <c r="R23" s="243"/>
      <c r="S23" s="243"/>
      <c r="T23" s="243"/>
      <c r="U23" s="243"/>
      <c r="V23" s="243"/>
      <c r="W23" s="243"/>
      <c r="X23" s="246"/>
      <c r="Y23" s="246"/>
    </row>
    <row r="24" spans="2:25" ht="16.5" thickBot="1" x14ac:dyDescent="0.3">
      <c r="B24" s="421" t="str">
        <f>"Betriebsergebnis (EBITDA) in Zeitraum "  &amp; TEXT(par_FZ_SEW_Start,"MMMM jjjj") &amp; " bis " &amp; TEXT(par_FZ_SEW_Ende,"MMMM jjjj") &amp; ":"</f>
        <v>Betriebsergebnis (EBITDA) in Zeitraum Jänner 2023 bis Juni 2023:</v>
      </c>
      <c r="C24" s="421"/>
      <c r="D24" s="421"/>
      <c r="E24" s="421"/>
      <c r="F24" s="421"/>
      <c r="G24" s="421"/>
      <c r="H24" s="432"/>
      <c r="I24" s="433"/>
      <c r="J24" s="80"/>
      <c r="K24" s="242"/>
      <c r="L24" s="248" t="s">
        <v>243</v>
      </c>
      <c r="M24" s="243"/>
      <c r="N24" s="243"/>
      <c r="O24" s="243"/>
      <c r="P24" s="243"/>
      <c r="Q24" s="243"/>
      <c r="R24" s="243"/>
      <c r="S24" s="243"/>
      <c r="T24" s="243"/>
      <c r="U24" s="243"/>
      <c r="V24" s="243"/>
      <c r="W24" s="243"/>
      <c r="X24" s="124"/>
      <c r="Y24" s="124"/>
    </row>
    <row r="25" spans="2:25" ht="17.45" customHeight="1" thickBot="1" x14ac:dyDescent="0.3">
      <c r="B25" s="421" t="str">
        <f>"Betriebsergebnis (EBITDA) in Zeitraum Jänner 2021 bis Juni 2021:"</f>
        <v>Betriebsergebnis (EBITDA) in Zeitraum Jänner 2021 bis Juni 2021:</v>
      </c>
      <c r="C25" s="421"/>
      <c r="D25" s="421"/>
      <c r="E25" s="421"/>
      <c r="F25" s="421"/>
      <c r="G25" s="422"/>
      <c r="H25" s="424"/>
      <c r="I25" s="425"/>
      <c r="J25" s="80"/>
      <c r="K25" s="423" t="s">
        <v>4</v>
      </c>
      <c r="L25" s="338" t="s">
        <v>250</v>
      </c>
      <c r="M25" s="338"/>
      <c r="N25" s="338"/>
      <c r="O25" s="338"/>
      <c r="P25" s="338"/>
      <c r="Q25" s="338"/>
      <c r="R25" s="338"/>
      <c r="S25" s="338"/>
      <c r="T25" s="338"/>
      <c r="U25" s="338"/>
      <c r="V25" s="338"/>
      <c r="W25" s="338"/>
      <c r="X25" s="247">
        <f>IF(AND(EBITDA_FZ&lt;(EBIDTA_VZ*(1-EBITDA_Absenkung)),X26&gt;125000),1,2)</f>
        <v>2</v>
      </c>
      <c r="Y25" s="124">
        <f>IF(X25=2,par_Zuschuss_EBITDAgrenze,0)</f>
        <v>125000</v>
      </c>
    </row>
    <row r="26" spans="2:25" ht="17.45" customHeight="1" thickBot="1" x14ac:dyDescent="0.3">
      <c r="B26" s="421" t="str">
        <f>"Betriebsergebnis (EBITDA) in Zeitraum "  &amp; TEXT(par_FZ_SEW_Start,"MMMM jjjj") &amp; " bis " &amp; TEXT(par_FZ_SEW_Ende,"MMMM jjjj") &amp; ":"</f>
        <v>Betriebsergebnis (EBITDA) in Zeitraum Jänner 2023 bis Juni 2023:</v>
      </c>
      <c r="C26" s="421"/>
      <c r="D26" s="421"/>
      <c r="E26" s="421"/>
      <c r="F26" s="421"/>
      <c r="G26" s="421"/>
      <c r="H26" s="424"/>
      <c r="I26" s="425"/>
      <c r="J26" s="80"/>
      <c r="K26" s="423"/>
      <c r="L26" s="338"/>
      <c r="M26" s="338"/>
      <c r="N26" s="338"/>
      <c r="O26" s="338"/>
      <c r="P26" s="338"/>
      <c r="Q26" s="338"/>
      <c r="R26" s="338"/>
      <c r="S26" s="338"/>
      <c r="T26" s="338"/>
      <c r="U26" s="338"/>
      <c r="V26" s="338"/>
      <c r="W26" s="338"/>
      <c r="X26" s="124" t="b">
        <f>IF(EBITDA_FZ&lt;EBIDTA_VZ*(1-EBITDA_Absenkung),IF(EBITDA_FZ+Zuschuss_vorläufig&gt;EBIDTA_VZ*par_EBITDA_Grenzsatz,(((EBIDTA_VZ*par_EBITDA_Grenzsatz*-1)+EBITDA_FZ)*-1),IF(EBITDA_FZ+Zuschuss_vorläufig&lt;=EBIDTA_VZ*par_EBITDA_Grenzsatz,Zuschuss_vorläufig,0)))</f>
        <v>0</v>
      </c>
      <c r="Y26" s="124"/>
    </row>
    <row r="27" spans="2:25" x14ac:dyDescent="0.25">
      <c r="B27" s="97"/>
      <c r="C27" s="97"/>
      <c r="D27" s="97"/>
      <c r="E27" s="97"/>
      <c r="F27" s="97"/>
      <c r="G27" s="97"/>
      <c r="H27" s="97"/>
      <c r="I27" s="97"/>
      <c r="J27" s="80"/>
      <c r="K27" s="423"/>
      <c r="L27" s="338"/>
      <c r="M27" s="338"/>
      <c r="N27" s="338"/>
      <c r="O27" s="338"/>
      <c r="P27" s="338"/>
      <c r="Q27" s="338"/>
      <c r="R27" s="338"/>
      <c r="S27" s="338"/>
      <c r="T27" s="338"/>
      <c r="U27" s="338"/>
      <c r="V27" s="338"/>
      <c r="W27" s="338"/>
      <c r="X27" s="124"/>
      <c r="Y27" s="124"/>
    </row>
    <row r="28" spans="2:25" ht="22.15" customHeight="1" x14ac:dyDescent="0.4">
      <c r="B28" s="92" t="s">
        <v>187</v>
      </c>
      <c r="C28" s="80"/>
      <c r="D28" s="80"/>
      <c r="E28" s="80"/>
      <c r="F28" s="80"/>
      <c r="G28" s="80"/>
      <c r="H28" s="80"/>
      <c r="I28" s="93">
        <f>IFERROR(IF(AND(D22="Betriebsverlustmethode",H24&lt;0),X22-Zuschuss_vorläufig,IF(AND(D22="Betriebsverlustmethode",H24=""),(Zuschuss_vorläufig-par_Zuschuss_EBITDAgrenze)*-1,IF(AND(D22="EBITDA-Absenkungsmethode",X25=1),(Zuschuss_vorläufig*-1)+X26,IF(AND(D22="EBITDA-Absenkungsmethode",X25=2),(Zuschuss_vorläufig*-1)+Y25,0)))),0)</f>
        <v>125000</v>
      </c>
      <c r="J28" s="92" t="s">
        <v>12</v>
      </c>
      <c r="K28" s="33" t="str">
        <f>IF(I28=0,"","i")</f>
        <v>i</v>
      </c>
      <c r="L28" s="245" t="str">
        <f>IF(I28=0,"","Der Zuschussbetrag wird gemäß Sonderbestimmung Richtlinie Pkt. 9.9.3 um folgenden Betrag gekürzt.")</f>
        <v>Der Zuschussbetrag wird gemäß Sonderbestimmung Richtlinie Pkt. 9.9.3 um folgenden Betrag gekürzt.</v>
      </c>
      <c r="M28" s="94"/>
      <c r="N28" s="94"/>
      <c r="O28" s="94"/>
      <c r="P28" s="80"/>
      <c r="Q28" s="80"/>
      <c r="R28" s="80"/>
      <c r="S28" s="80"/>
      <c r="T28" s="80"/>
      <c r="U28" s="80"/>
      <c r="V28" s="80"/>
      <c r="W28" s="80"/>
      <c r="X28" s="80"/>
      <c r="Y28" s="80"/>
    </row>
    <row r="29" spans="2:25" ht="6" customHeight="1" x14ac:dyDescent="0.25">
      <c r="B29" s="80"/>
      <c r="C29" s="80"/>
      <c r="D29" s="80"/>
      <c r="E29" s="80"/>
      <c r="F29" s="80"/>
      <c r="G29" s="80"/>
      <c r="H29" s="80"/>
      <c r="I29" s="80"/>
      <c r="J29" s="80"/>
      <c r="K29" s="80"/>
      <c r="L29" s="80"/>
      <c r="M29" s="80"/>
      <c r="N29" s="80"/>
      <c r="O29" s="80"/>
      <c r="P29" s="80"/>
      <c r="Q29" s="80"/>
      <c r="R29" s="80"/>
      <c r="S29" s="80"/>
      <c r="T29" s="80"/>
      <c r="U29" s="80"/>
      <c r="V29" s="80"/>
      <c r="W29" s="80"/>
      <c r="X29" s="80"/>
      <c r="Y29" s="80"/>
    </row>
    <row r="30" spans="2:25" ht="16.899999999999999" customHeight="1" x14ac:dyDescent="0.4">
      <c r="B30" s="60" t="s">
        <v>191</v>
      </c>
      <c r="C30" s="60"/>
      <c r="D30" s="60"/>
      <c r="E30" s="32"/>
      <c r="F30" s="63"/>
      <c r="G30" s="63"/>
      <c r="H30" s="63"/>
      <c r="I30" s="59">
        <f>Zuschuss_vorläufig+I28</f>
        <v>125000</v>
      </c>
      <c r="J30" s="36" t="s">
        <v>12</v>
      </c>
      <c r="K30" s="33" t="s">
        <v>4</v>
      </c>
      <c r="L30" s="426" t="str">
        <f>IF(I30&lt;=par_Zuschuss_Untergrenze,"Der mögliche Gesamtzuschuss liegt unter der betragsmäßigen Untergrenze von EUR " &amp; par_Zuschuss_Untergrenze&amp; ",- .",IF(I30&lt;=par_Pauschalgrenze,"Die unverbindliche Berechnung des Gesamtzuschusses (max. " &amp; TEXT(par_Zuschuss_max,"#.##0") &amp; " EUR) erfolgt auf Basis Ihrer Angaben, die im Zuge der Antragstellung geprüft werden können. Der Energiekostenzuschuss beinhaltet einen Pauschalbetrag in Höhe von € " &amp; par_Zuschuss_Pauschal &amp; ",- zur Abdeckung der Steuerberatungskosten.","Die unverbindliche Berechnung des Gesamtzuschusses erfolgt auf Basis Ihrer Angaben, die im Zuge der Antragstellung geprüft werden können."))</f>
        <v>Die unverbindliche Berechnung des Gesamtzuschusses erfolgt auf Basis Ihrer Angaben, die im Zuge der Antragstellung geprüft werden können.</v>
      </c>
      <c r="M30" s="427"/>
      <c r="N30" s="427"/>
      <c r="O30" s="427"/>
      <c r="P30" s="427"/>
      <c r="Q30" s="427"/>
      <c r="R30" s="427"/>
      <c r="S30" s="427"/>
      <c r="T30" s="427"/>
      <c r="U30" s="427"/>
      <c r="V30" s="427"/>
      <c r="W30" s="427"/>
      <c r="X30" s="427"/>
      <c r="Y30" s="80"/>
    </row>
    <row r="31" spans="2:25" ht="16.5" x14ac:dyDescent="0.3">
      <c r="B31" s="80"/>
      <c r="C31" s="80"/>
      <c r="D31" s="80"/>
      <c r="E31" s="80"/>
      <c r="F31" s="80"/>
      <c r="G31" s="80"/>
      <c r="H31" s="80"/>
      <c r="I31" s="80"/>
      <c r="J31" s="80"/>
      <c r="K31" s="53"/>
      <c r="L31" s="427"/>
      <c r="M31" s="427"/>
      <c r="N31" s="427"/>
      <c r="O31" s="427"/>
      <c r="P31" s="427"/>
      <c r="Q31" s="427"/>
      <c r="R31" s="427"/>
      <c r="S31" s="427"/>
      <c r="T31" s="427"/>
      <c r="U31" s="427"/>
      <c r="V31" s="427"/>
      <c r="W31" s="427"/>
      <c r="X31" s="427"/>
      <c r="Y31" s="80"/>
    </row>
    <row r="32" spans="2:25" x14ac:dyDescent="0.25">
      <c r="B32" s="80"/>
      <c r="C32" s="80"/>
      <c r="D32" s="80"/>
      <c r="E32" s="80"/>
      <c r="F32" s="80"/>
      <c r="G32" s="80"/>
      <c r="H32" s="80"/>
      <c r="I32" s="80"/>
      <c r="J32" s="80"/>
      <c r="K32" s="80"/>
      <c r="L32" s="80"/>
      <c r="M32" s="80"/>
      <c r="N32" s="80"/>
      <c r="O32" s="80"/>
      <c r="P32" s="80"/>
      <c r="Q32" s="80"/>
      <c r="R32" s="80"/>
      <c r="S32" s="80"/>
      <c r="T32" s="80"/>
      <c r="U32" s="80"/>
      <c r="V32" s="80"/>
      <c r="W32" s="80"/>
      <c r="X32" s="80"/>
      <c r="Y32" s="80"/>
    </row>
    <row r="33" spans="2:25" x14ac:dyDescent="0.25">
      <c r="B33" s="80"/>
      <c r="C33" s="80"/>
      <c r="D33" s="80"/>
      <c r="E33" s="80"/>
      <c r="F33" s="80"/>
      <c r="G33" s="80"/>
      <c r="H33" s="80"/>
      <c r="I33" s="80"/>
      <c r="J33" s="80"/>
      <c r="K33" s="80"/>
      <c r="L33" s="80"/>
      <c r="M33" s="80"/>
      <c r="N33" s="80"/>
      <c r="O33" s="80"/>
      <c r="P33" s="80"/>
      <c r="Q33" s="80"/>
      <c r="R33" s="80"/>
      <c r="S33" s="80"/>
      <c r="T33" s="80"/>
      <c r="U33" s="80"/>
      <c r="V33" s="80"/>
      <c r="W33" s="80"/>
      <c r="X33" s="80"/>
      <c r="Y33" s="80"/>
    </row>
    <row r="34" spans="2:25" x14ac:dyDescent="0.25">
      <c r="B34" s="80"/>
      <c r="C34" s="80"/>
      <c r="D34" s="80"/>
      <c r="E34" s="80"/>
      <c r="F34" s="80"/>
      <c r="G34" s="80"/>
      <c r="H34" s="80"/>
      <c r="I34" s="80"/>
      <c r="J34" s="80"/>
      <c r="K34" s="80"/>
      <c r="L34" s="80"/>
      <c r="M34" s="80"/>
      <c r="N34" s="80"/>
      <c r="O34" s="80"/>
      <c r="P34" s="80"/>
      <c r="Q34" s="80"/>
      <c r="R34" s="80"/>
      <c r="S34" s="80"/>
      <c r="T34" s="80"/>
      <c r="U34" s="80"/>
      <c r="V34" s="80"/>
      <c r="W34" s="80"/>
      <c r="X34" s="80"/>
      <c r="Y34" s="80"/>
    </row>
    <row r="35" spans="2:25" x14ac:dyDescent="0.25">
      <c r="B35" s="80"/>
      <c r="C35" s="80"/>
      <c r="D35" s="80"/>
      <c r="E35" s="80"/>
      <c r="F35" s="80"/>
      <c r="G35" s="80"/>
      <c r="H35" s="80"/>
      <c r="I35" s="80"/>
      <c r="J35" s="80"/>
      <c r="K35" s="80"/>
      <c r="L35" s="80"/>
      <c r="M35" s="80"/>
      <c r="N35" s="80"/>
      <c r="O35" s="80"/>
      <c r="P35" s="80"/>
      <c r="Q35" s="80"/>
      <c r="R35" s="80"/>
      <c r="S35" s="80"/>
      <c r="T35" s="80"/>
      <c r="U35" s="80"/>
      <c r="V35" s="80"/>
      <c r="W35" s="80"/>
      <c r="X35" s="80"/>
      <c r="Y35" s="80"/>
    </row>
    <row r="36" spans="2:25" x14ac:dyDescent="0.25">
      <c r="B36" s="80"/>
      <c r="C36" s="80"/>
      <c r="D36" s="80"/>
      <c r="E36" s="80"/>
      <c r="F36" s="80"/>
      <c r="G36" s="80"/>
      <c r="H36" s="80"/>
      <c r="I36" s="80"/>
      <c r="J36" s="80"/>
      <c r="K36" s="80"/>
      <c r="L36" s="80"/>
      <c r="M36" s="80"/>
      <c r="N36" s="80"/>
      <c r="O36" s="80"/>
      <c r="P36" s="80"/>
      <c r="Q36" s="80"/>
      <c r="R36" s="80"/>
      <c r="S36" s="80"/>
      <c r="T36" s="80"/>
      <c r="U36" s="80"/>
      <c r="V36" s="80"/>
      <c r="W36" s="80"/>
      <c r="X36" s="80"/>
      <c r="Y36" s="80"/>
    </row>
    <row r="37" spans="2:25" x14ac:dyDescent="0.25">
      <c r="B37" s="80"/>
      <c r="C37" s="80"/>
      <c r="D37" s="80"/>
      <c r="E37" s="80"/>
      <c r="F37" s="80"/>
      <c r="G37" s="80"/>
      <c r="H37" s="80"/>
      <c r="I37" s="80"/>
      <c r="J37" s="80"/>
      <c r="K37" s="80"/>
      <c r="L37" s="80"/>
      <c r="M37" s="80"/>
      <c r="N37" s="80"/>
      <c r="O37" s="80"/>
      <c r="P37" s="80"/>
      <c r="Q37" s="80"/>
      <c r="R37" s="80"/>
      <c r="S37" s="80"/>
      <c r="T37" s="80"/>
      <c r="U37" s="80"/>
      <c r="V37" s="80"/>
      <c r="W37" s="80"/>
      <c r="X37" s="80"/>
      <c r="Y37" s="80"/>
    </row>
    <row r="38" spans="2:25" x14ac:dyDescent="0.25">
      <c r="B38" s="80"/>
      <c r="C38" s="80"/>
      <c r="D38" s="80"/>
      <c r="E38" s="80"/>
      <c r="F38" s="80"/>
      <c r="G38" s="80"/>
      <c r="H38" s="80"/>
      <c r="I38" s="80"/>
      <c r="J38" s="80"/>
      <c r="K38" s="80"/>
      <c r="L38" s="80"/>
      <c r="M38" s="80"/>
      <c r="N38" s="80"/>
      <c r="O38" s="80"/>
      <c r="P38" s="80"/>
      <c r="Q38" s="80"/>
      <c r="R38" s="80"/>
      <c r="S38" s="80"/>
      <c r="T38" s="80"/>
      <c r="U38" s="80"/>
      <c r="V38" s="80"/>
      <c r="W38" s="80"/>
      <c r="X38" s="80"/>
      <c r="Y38" s="80"/>
    </row>
    <row r="39" spans="2:25" x14ac:dyDescent="0.25">
      <c r="B39" s="80"/>
      <c r="C39" s="80"/>
      <c r="D39" s="80"/>
      <c r="E39" s="80"/>
      <c r="F39" s="80"/>
      <c r="G39" s="80"/>
      <c r="H39" s="80"/>
      <c r="I39" s="80"/>
      <c r="J39" s="80"/>
      <c r="K39" s="80"/>
      <c r="L39" s="80"/>
      <c r="M39" s="80"/>
      <c r="N39" s="80"/>
      <c r="O39" s="80"/>
      <c r="P39" s="80"/>
      <c r="Q39" s="80"/>
      <c r="R39" s="80"/>
      <c r="S39" s="80"/>
      <c r="T39" s="80"/>
      <c r="U39" s="80"/>
      <c r="V39" s="80"/>
      <c r="W39" s="80"/>
      <c r="X39" s="80"/>
      <c r="Y39" s="80"/>
    </row>
    <row r="40" spans="2:25" x14ac:dyDescent="0.25">
      <c r="B40" s="80"/>
      <c r="C40" s="80"/>
      <c r="D40" s="80"/>
      <c r="E40" s="80"/>
      <c r="F40" s="80"/>
      <c r="G40" s="80"/>
      <c r="H40" s="80"/>
      <c r="I40" s="80"/>
      <c r="J40" s="80"/>
      <c r="K40" s="80"/>
      <c r="L40" s="80"/>
      <c r="M40" s="80"/>
      <c r="N40" s="80"/>
      <c r="O40" s="80"/>
      <c r="P40" s="80"/>
      <c r="Q40" s="80"/>
      <c r="R40" s="80"/>
      <c r="S40" s="80"/>
      <c r="T40" s="80"/>
      <c r="U40" s="80"/>
      <c r="V40" s="80"/>
      <c r="W40" s="80"/>
      <c r="X40" s="80"/>
      <c r="Y40" s="80"/>
    </row>
    <row r="41" spans="2:25" x14ac:dyDescent="0.25">
      <c r="B41" s="80"/>
      <c r="C41" s="80"/>
      <c r="D41" s="80"/>
      <c r="E41" s="80"/>
      <c r="F41" s="80"/>
      <c r="G41" s="80"/>
      <c r="H41" s="80"/>
      <c r="I41" s="80"/>
      <c r="J41" s="80"/>
      <c r="K41" s="80"/>
      <c r="L41" s="80"/>
      <c r="M41" s="80"/>
      <c r="N41" s="80"/>
      <c r="O41" s="80"/>
      <c r="P41" s="80"/>
      <c r="Q41" s="80"/>
      <c r="R41" s="80"/>
      <c r="S41" s="80"/>
      <c r="T41" s="80"/>
      <c r="U41" s="80"/>
      <c r="V41" s="80"/>
      <c r="W41" s="80"/>
      <c r="X41" s="80"/>
      <c r="Y41" s="80"/>
    </row>
    <row r="42" spans="2:25" x14ac:dyDescent="0.25">
      <c r="B42" s="80"/>
      <c r="C42" s="80"/>
      <c r="D42" s="80"/>
      <c r="E42" s="80"/>
      <c r="F42" s="80"/>
      <c r="G42" s="80"/>
      <c r="H42" s="80"/>
      <c r="I42" s="80"/>
      <c r="J42" s="80"/>
      <c r="K42" s="80"/>
      <c r="L42" s="80"/>
      <c r="M42" s="80"/>
      <c r="N42" s="80"/>
      <c r="O42" s="80"/>
      <c r="P42" s="80"/>
      <c r="Q42" s="80"/>
      <c r="R42" s="80"/>
      <c r="S42" s="80"/>
      <c r="T42" s="80"/>
      <c r="U42" s="80"/>
      <c r="V42" s="80"/>
      <c r="W42" s="80"/>
      <c r="X42" s="80"/>
      <c r="Y42" s="80"/>
    </row>
    <row r="43" spans="2:25" x14ac:dyDescent="0.25">
      <c r="B43" s="80"/>
      <c r="C43" s="80"/>
      <c r="D43" s="80"/>
      <c r="E43" s="80"/>
      <c r="F43" s="80"/>
      <c r="G43" s="80"/>
      <c r="H43" s="80"/>
      <c r="I43" s="80"/>
      <c r="J43" s="80"/>
      <c r="K43" s="80"/>
      <c r="L43" s="80"/>
      <c r="M43" s="80"/>
      <c r="N43" s="80"/>
      <c r="O43" s="80"/>
      <c r="P43" s="80"/>
      <c r="Q43" s="80"/>
      <c r="R43" s="80"/>
      <c r="S43" s="80"/>
      <c r="T43" s="80"/>
      <c r="U43" s="80"/>
      <c r="V43" s="80"/>
      <c r="W43" s="80"/>
      <c r="X43" s="80"/>
      <c r="Y43" s="80"/>
    </row>
    <row r="44" spans="2:25" x14ac:dyDescent="0.25">
      <c r="B44" s="80"/>
      <c r="C44" s="80"/>
      <c r="D44" s="80"/>
      <c r="E44" s="80"/>
      <c r="F44" s="80"/>
      <c r="G44" s="80"/>
      <c r="H44" s="80"/>
      <c r="I44" s="80"/>
      <c r="J44" s="80"/>
      <c r="K44" s="80"/>
      <c r="L44" s="80"/>
      <c r="M44" s="80"/>
      <c r="N44" s="80"/>
      <c r="O44" s="80"/>
      <c r="P44" s="80"/>
      <c r="Q44" s="80"/>
      <c r="R44" s="80"/>
      <c r="S44" s="80"/>
      <c r="T44" s="80"/>
      <c r="U44" s="80"/>
      <c r="V44" s="80"/>
      <c r="W44" s="80"/>
      <c r="X44" s="80"/>
      <c r="Y44" s="80"/>
    </row>
    <row r="45" spans="2:25" x14ac:dyDescent="0.25">
      <c r="B45" s="80"/>
      <c r="C45" s="80"/>
      <c r="D45" s="80"/>
      <c r="E45" s="80"/>
      <c r="F45" s="80"/>
      <c r="G45" s="80"/>
      <c r="H45" s="80"/>
      <c r="I45" s="80"/>
      <c r="J45" s="80"/>
      <c r="K45" s="80"/>
      <c r="L45" s="80"/>
      <c r="M45" s="80"/>
      <c r="N45" s="80"/>
      <c r="O45" s="80"/>
      <c r="P45" s="80"/>
      <c r="Q45" s="80"/>
      <c r="R45" s="80"/>
      <c r="S45" s="80"/>
      <c r="T45" s="80"/>
      <c r="U45" s="80"/>
      <c r="V45" s="80"/>
      <c r="W45" s="80"/>
      <c r="X45" s="80"/>
      <c r="Y45" s="80"/>
    </row>
    <row r="46" spans="2:25" x14ac:dyDescent="0.25">
      <c r="B46" s="80"/>
      <c r="C46" s="80"/>
      <c r="D46" s="80"/>
      <c r="E46" s="80"/>
      <c r="F46" s="80"/>
      <c r="G46" s="80"/>
      <c r="H46" s="80"/>
      <c r="I46" s="80"/>
      <c r="J46" s="80"/>
      <c r="K46" s="80"/>
      <c r="L46" s="80"/>
      <c r="M46" s="80"/>
      <c r="N46" s="80"/>
      <c r="O46" s="80"/>
      <c r="P46" s="80"/>
      <c r="Q46" s="80"/>
      <c r="R46" s="80"/>
      <c r="S46" s="80"/>
      <c r="T46" s="80"/>
      <c r="U46" s="80"/>
      <c r="V46" s="80"/>
      <c r="W46" s="80"/>
      <c r="X46" s="80"/>
      <c r="Y46" s="80"/>
    </row>
    <row r="47" spans="2:25" x14ac:dyDescent="0.25">
      <c r="B47" s="80"/>
      <c r="C47" s="80"/>
      <c r="D47" s="80"/>
      <c r="E47" s="80"/>
      <c r="F47" s="80"/>
      <c r="G47" s="80"/>
      <c r="H47" s="80"/>
      <c r="I47" s="80"/>
      <c r="J47" s="80"/>
      <c r="K47" s="80"/>
      <c r="L47" s="80"/>
      <c r="M47" s="80"/>
      <c r="N47" s="80"/>
      <c r="O47" s="80"/>
      <c r="P47" s="80"/>
      <c r="Q47" s="80"/>
      <c r="R47" s="80"/>
      <c r="S47" s="80"/>
      <c r="T47" s="80"/>
      <c r="U47" s="80"/>
      <c r="V47" s="80"/>
      <c r="W47" s="80"/>
      <c r="X47" s="80"/>
      <c r="Y47" s="80"/>
    </row>
    <row r="48" spans="2:25" x14ac:dyDescent="0.25">
      <c r="B48" s="80"/>
      <c r="C48" s="80"/>
      <c r="D48" s="80"/>
      <c r="E48" s="80"/>
      <c r="F48" s="80"/>
      <c r="G48" s="80"/>
      <c r="H48" s="80"/>
      <c r="I48" s="80"/>
      <c r="J48" s="80"/>
      <c r="K48" s="80"/>
      <c r="L48" s="80"/>
      <c r="M48" s="80"/>
      <c r="N48" s="80"/>
      <c r="O48" s="80"/>
      <c r="P48" s="80"/>
      <c r="Q48" s="80"/>
      <c r="R48" s="80"/>
      <c r="S48" s="80"/>
      <c r="T48" s="80"/>
      <c r="U48" s="80"/>
      <c r="V48" s="80"/>
      <c r="W48" s="80"/>
      <c r="X48" s="80"/>
      <c r="Y48" s="80"/>
    </row>
    <row r="49" spans="2:25" x14ac:dyDescent="0.25">
      <c r="B49" s="80"/>
      <c r="C49" s="80"/>
      <c r="D49" s="80"/>
      <c r="E49" s="80"/>
      <c r="F49" s="80"/>
      <c r="G49" s="80"/>
      <c r="H49" s="80"/>
      <c r="I49" s="80"/>
      <c r="J49" s="80"/>
      <c r="K49" s="80"/>
      <c r="L49" s="80"/>
      <c r="M49" s="80"/>
      <c r="N49" s="80"/>
      <c r="O49" s="80"/>
      <c r="P49" s="80"/>
      <c r="Q49" s="80"/>
      <c r="R49" s="80"/>
      <c r="S49" s="80"/>
      <c r="T49" s="80"/>
      <c r="U49" s="80"/>
      <c r="V49" s="80"/>
      <c r="W49" s="80"/>
      <c r="X49" s="80"/>
      <c r="Y49" s="80"/>
    </row>
    <row r="50" spans="2:25" x14ac:dyDescent="0.25">
      <c r="B50" s="80"/>
      <c r="C50" s="80"/>
      <c r="D50" s="80"/>
      <c r="E50" s="80"/>
      <c r="F50" s="80"/>
      <c r="G50" s="80"/>
      <c r="H50" s="80"/>
      <c r="I50" s="80"/>
      <c r="J50" s="80"/>
      <c r="K50" s="80"/>
      <c r="L50" s="80"/>
      <c r="M50" s="80"/>
      <c r="N50" s="80"/>
      <c r="O50" s="80"/>
      <c r="P50" s="80"/>
      <c r="Q50" s="80"/>
      <c r="R50" s="80"/>
      <c r="S50" s="80"/>
      <c r="T50" s="80"/>
      <c r="U50" s="80"/>
      <c r="V50" s="80"/>
      <c r="W50" s="80"/>
      <c r="X50" s="80"/>
      <c r="Y50" s="80"/>
    </row>
    <row r="51" spans="2:25" x14ac:dyDescent="0.25">
      <c r="B51" s="80"/>
      <c r="C51" s="80"/>
      <c r="D51" s="80"/>
      <c r="E51" s="80"/>
      <c r="F51" s="80"/>
      <c r="G51" s="80"/>
      <c r="H51" s="80"/>
      <c r="I51" s="80"/>
      <c r="J51" s="80"/>
      <c r="K51" s="80"/>
      <c r="L51" s="80"/>
      <c r="M51" s="80"/>
      <c r="N51" s="80"/>
      <c r="O51" s="80"/>
      <c r="P51" s="80"/>
      <c r="Q51" s="80"/>
      <c r="R51" s="80"/>
      <c r="S51" s="80"/>
      <c r="T51" s="80"/>
      <c r="U51" s="80"/>
      <c r="V51" s="80"/>
      <c r="W51" s="80"/>
      <c r="X51" s="80"/>
      <c r="Y51" s="80"/>
    </row>
    <row r="52" spans="2:25" x14ac:dyDescent="0.25">
      <c r="B52" s="80"/>
      <c r="C52" s="80"/>
      <c r="D52" s="80"/>
      <c r="E52" s="80"/>
      <c r="F52" s="80"/>
      <c r="G52" s="80"/>
      <c r="H52" s="80"/>
      <c r="I52" s="80"/>
      <c r="J52" s="80"/>
      <c r="K52" s="80"/>
      <c r="L52" s="80"/>
      <c r="M52" s="80"/>
      <c r="N52" s="80"/>
      <c r="O52" s="80"/>
      <c r="P52" s="80"/>
      <c r="Q52" s="80"/>
      <c r="R52" s="80"/>
      <c r="S52" s="80"/>
      <c r="T52" s="80"/>
      <c r="U52" s="80"/>
      <c r="V52" s="80"/>
      <c r="W52" s="80"/>
      <c r="X52" s="80"/>
      <c r="Y52" s="80"/>
    </row>
    <row r="53" spans="2:25" x14ac:dyDescent="0.25">
      <c r="B53" s="80"/>
      <c r="C53" s="80"/>
      <c r="D53" s="80"/>
      <c r="E53" s="80"/>
      <c r="F53" s="80"/>
      <c r="G53" s="80"/>
      <c r="H53" s="80"/>
      <c r="I53" s="80"/>
      <c r="J53" s="80"/>
      <c r="K53" s="80"/>
      <c r="L53" s="80"/>
      <c r="M53" s="80"/>
      <c r="N53" s="80"/>
      <c r="O53" s="80"/>
      <c r="P53" s="80"/>
      <c r="Q53" s="80"/>
      <c r="R53" s="80"/>
      <c r="S53" s="80"/>
      <c r="T53" s="80"/>
      <c r="U53" s="80"/>
      <c r="V53" s="80"/>
      <c r="W53" s="80"/>
      <c r="X53" s="80"/>
      <c r="Y53" s="80"/>
    </row>
    <row r="54" spans="2:25" x14ac:dyDescent="0.25">
      <c r="B54" s="80"/>
      <c r="C54" s="80"/>
      <c r="D54" s="80"/>
      <c r="E54" s="80"/>
      <c r="F54" s="80"/>
      <c r="G54" s="80"/>
      <c r="H54" s="80"/>
      <c r="I54" s="80"/>
      <c r="J54" s="80"/>
      <c r="K54" s="80"/>
      <c r="L54" s="80"/>
      <c r="M54" s="80"/>
      <c r="N54" s="80"/>
      <c r="O54" s="80"/>
      <c r="P54" s="80"/>
      <c r="Q54" s="80"/>
      <c r="R54" s="80"/>
      <c r="S54" s="80"/>
      <c r="T54" s="80"/>
      <c r="U54" s="80"/>
      <c r="V54" s="80"/>
      <c r="W54" s="80"/>
      <c r="X54" s="80"/>
      <c r="Y54" s="80"/>
    </row>
    <row r="55" spans="2:25" x14ac:dyDescent="0.25">
      <c r="B55" s="80"/>
      <c r="C55" s="80"/>
      <c r="D55" s="80"/>
      <c r="E55" s="80"/>
      <c r="F55" s="80"/>
      <c r="G55" s="80"/>
      <c r="H55" s="80"/>
      <c r="I55" s="80"/>
      <c r="J55" s="80"/>
      <c r="K55" s="80"/>
      <c r="L55" s="80"/>
      <c r="M55" s="80"/>
      <c r="N55" s="80"/>
      <c r="O55" s="80"/>
      <c r="P55" s="80"/>
      <c r="Q55" s="80"/>
      <c r="R55" s="80"/>
      <c r="S55" s="80"/>
      <c r="T55" s="80"/>
      <c r="U55" s="80"/>
      <c r="V55" s="80"/>
      <c r="W55" s="80"/>
      <c r="X55" s="80"/>
      <c r="Y55" s="80"/>
    </row>
    <row r="56" spans="2:25" x14ac:dyDescent="0.25">
      <c r="B56" s="80"/>
      <c r="C56" s="80"/>
      <c r="D56" s="80"/>
      <c r="E56" s="80"/>
      <c r="F56" s="80"/>
      <c r="G56" s="80"/>
      <c r="H56" s="80"/>
      <c r="I56" s="80"/>
      <c r="J56" s="80"/>
      <c r="K56" s="80"/>
      <c r="L56" s="80"/>
      <c r="M56" s="80"/>
      <c r="N56" s="80"/>
      <c r="O56" s="80"/>
      <c r="P56" s="80"/>
      <c r="Q56" s="80"/>
      <c r="R56" s="80"/>
      <c r="S56" s="80"/>
      <c r="T56" s="80"/>
      <c r="U56" s="80"/>
      <c r="V56" s="80"/>
      <c r="W56" s="80"/>
      <c r="X56" s="80"/>
      <c r="Y56" s="80"/>
    </row>
  </sheetData>
  <sheetProtection algorithmName="SHA-512" hashValue="DAGKeO4GnyvHls9kr82gImpsuxLlB7jdJuwXmV/7CSDeM/E11+JBpIY/XwEqQJ7P1vwRhJlubFV0szu9WSJUVQ==" saltValue="nOnqJI/2tO3uD4d4tIKM/g==" spinCount="100000" sheet="1" objects="1" scenarios="1"/>
  <mergeCells count="16">
    <mergeCell ref="B25:G25"/>
    <mergeCell ref="K25:K27"/>
    <mergeCell ref="H25:I25"/>
    <mergeCell ref="L30:X31"/>
    <mergeCell ref="L16:X17"/>
    <mergeCell ref="B22:C22"/>
    <mergeCell ref="D22:G22"/>
    <mergeCell ref="B26:G26"/>
    <mergeCell ref="K20:K21"/>
    <mergeCell ref="K22:K23"/>
    <mergeCell ref="L20:W21"/>
    <mergeCell ref="B24:G24"/>
    <mergeCell ref="H24:I24"/>
    <mergeCell ref="L25:W27"/>
    <mergeCell ref="L22:W22"/>
    <mergeCell ref="H26:I26"/>
  </mergeCells>
  <conditionalFormatting sqref="B18:X19 B20:W21 B34:X56 B33:H33 J33:X33 X22 B21:J24 L24 B27:J27 B28:X32 X27 B25:W27">
    <cfRule type="expression" dxfId="19" priority="17">
      <formula>$I$16&lt;=par_Zuschuss_EBITDAgrenze</formula>
    </cfRule>
  </conditionalFormatting>
  <conditionalFormatting sqref="L16:X17">
    <cfRule type="cellIs" dxfId="18" priority="18" operator="equal">
      <formula>"Der mögliche Gesamtzuschuss liegt unter der betragsmäßigen Untergrenze von EUR 2.000,- ."</formula>
    </cfRule>
  </conditionalFormatting>
  <conditionalFormatting sqref="L30:X31">
    <cfRule type="cellIs" dxfId="17" priority="13" operator="equal">
      <formula>"Der mögliche Gesamtzuschuss liegt unter der betragsmäßigen Untergrenze von EUR 2.000,- ."</formula>
    </cfRule>
  </conditionalFormatting>
  <conditionalFormatting sqref="K16:X17">
    <cfRule type="expression" dxfId="16" priority="11">
      <formula>$Y$16=1</formula>
    </cfRule>
  </conditionalFormatting>
  <conditionalFormatting sqref="K20">
    <cfRule type="expression" dxfId="15" priority="10">
      <formula>$Y$16=1</formula>
    </cfRule>
  </conditionalFormatting>
  <conditionalFormatting sqref="K22:L22">
    <cfRule type="expression" dxfId="14" priority="8">
      <formula>$I$16&lt;=par_Zuschuss_EBITDAgrenze</formula>
    </cfRule>
  </conditionalFormatting>
  <conditionalFormatting sqref="K22">
    <cfRule type="expression" dxfId="13" priority="9">
      <formula>$Y$16=1</formula>
    </cfRule>
  </conditionalFormatting>
  <conditionalFormatting sqref="B24:I24 K22:W23">
    <cfRule type="expression" dxfId="12" priority="4">
      <formula>ISNUMBER(SEARCH("EBITDA-Absenkungsmethode",$D$22))</formula>
    </cfRule>
  </conditionalFormatting>
  <conditionalFormatting sqref="L24">
    <cfRule type="expression" dxfId="11" priority="3">
      <formula>$H$24&lt;0</formula>
    </cfRule>
    <cfRule type="expression" dxfId="10" priority="1">
      <formula>ISNUMBER(SEARCH("EBITDA-Absenkungsmethode",$D$22))</formula>
    </cfRule>
  </conditionalFormatting>
  <conditionalFormatting sqref="B25:W27">
    <cfRule type="expression" dxfId="9" priority="2">
      <formula>ISNUMBER(SEARCH("Betriebsverlustmethode",$D$22))</formula>
    </cfRule>
  </conditionalFormatting>
  <dataValidations count="3">
    <dataValidation type="list" allowBlank="1" showInputMessage="1" showErrorMessage="1" sqref="D22">
      <formula1>Auswahl_EBITDA</formula1>
    </dataValidation>
    <dataValidation type="decimal" allowBlank="1" showInputMessage="1" showErrorMessage="1" errorTitle="Bitte beachten Sie" error="Bitte erfassen Sie das Ergebnis vor Zinsen, Steuern und Abschreibungen ohne einmalige Wertminderungen (EBITDA) der Periode. Der Betriebsverlust ist als negativer Betrag einzugeben (- Minusvorzeichen)." sqref="H24:I24">
      <formula1>-9999999999999990</formula1>
      <formula2>-0.01</formula2>
    </dataValidation>
    <dataValidation type="decimal" allowBlank="1" showInputMessage="1" showErrorMessage="1" sqref="H25:I26">
      <formula1>0</formula1>
      <formula2>9.99999999999999E+28</formula2>
    </dataValidation>
  </dataValidations>
  <pageMargins left="0.7" right="0.7" top="0.78740157499999996" bottom="0.78740157499999996" header="0.3" footer="0.3"/>
  <pageSetup paperSize="9" scale="31" orientation="portrait" r:id="rId1"/>
  <ignoredErrors>
    <ignoredError sqref="L13 B25" formula="1"/>
  </ignoredErrors>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Tabelle7">
    <tabColor rgb="FFD9E1F2"/>
  </sheetPr>
  <dimension ref="A1:E22"/>
  <sheetViews>
    <sheetView workbookViewId="0">
      <selection activeCell="G18" sqref="G18"/>
    </sheetView>
  </sheetViews>
  <sheetFormatPr baseColWidth="10" defaultColWidth="11.42578125" defaultRowHeight="15" x14ac:dyDescent="0.25"/>
  <cols>
    <col min="1" max="1" width="42.28515625" customWidth="1"/>
    <col min="2" max="2" width="77.7109375" customWidth="1"/>
    <col min="3" max="3" width="4.85546875" customWidth="1"/>
  </cols>
  <sheetData>
    <row r="1" spans="1:5" x14ac:dyDescent="0.25">
      <c r="A1" t="s">
        <v>40</v>
      </c>
      <c r="B1" t="s">
        <v>41</v>
      </c>
      <c r="D1" t="s">
        <v>42</v>
      </c>
      <c r="E1" t="s">
        <v>41</v>
      </c>
    </row>
    <row r="2" spans="1:5" x14ac:dyDescent="0.25">
      <c r="A2" s="66" t="s">
        <v>43</v>
      </c>
      <c r="B2" s="67">
        <f>MIN(ROUND('2 - Strom Erdgas Wärme Förderj.'!H13,0),1000000)+ROUND('2 - Strom Erdgas Wärme Förderj.'!H14,0)</f>
        <v>0</v>
      </c>
      <c r="D2" s="66" t="s">
        <v>44</v>
      </c>
      <c r="E2" s="66">
        <v>100000000</v>
      </c>
    </row>
    <row r="3" spans="1:5" x14ac:dyDescent="0.25">
      <c r="A3" s="66" t="s">
        <v>45</v>
      </c>
      <c r="B3" s="67">
        <f>ROUND('2 - Strom Erdgas Wärme Förderj.'!H17,4)</f>
        <v>0</v>
      </c>
      <c r="D3" s="66" t="s">
        <v>46</v>
      </c>
      <c r="E3" s="68" t="str">
        <f>IF(AND(_xlfn.ISFORMULA('2 - Strom Erdgas Wärme Förderj.'!H15)=TRUE,_xlfn.ISFORMULA('2 - Strom Erdgas Wärme Förderj.'!H17)=TRUE,_xlfn.ISFORMULA('2 - Strom Erdgas Wärme Förderj.'!H18)=TRUE,_xlfn.ISFORMULA('2 - Strom Erdgas Wärme Förderj.'!H24)=TRUE,_xlfn.ISFORMULA('2 - Strom Erdgas Wärme Förderj.'!H26)=TRUE,_xlfn.ISFORMULA('2 - Strom Erdgas Wärme Förderj.'!H27)=TRUE,OR(AND('3 - Treibstoffe'!C28="",'3 - Treibstoffe'!C29=""),AND('3 - Treibstoffe'!C28&gt;0,'3 - Treibstoffe'!C29&gt;0)),_xlfn.ISFORMULA('4 - Heizöl_Holzpellets_Hacksch.'!E33),_xlfn.ISFORMULA('4 - Heizöl_Holzpellets_Hacksch.'!E37),_xlfn.ISFORMULA('4 - Heizöl_Holzpellets_Hacksch.'!E46)),"OK","NOK")</f>
        <v>OK</v>
      </c>
    </row>
    <row r="4" spans="1:5" x14ac:dyDescent="0.25">
      <c r="A4" s="66" t="s">
        <v>47</v>
      </c>
      <c r="B4" s="67">
        <f>ROUND('2 - Strom Erdgas Wärme Förderj.'!H18,4)</f>
        <v>0</v>
      </c>
      <c r="D4" s="66" t="s">
        <v>1</v>
      </c>
      <c r="E4" s="69" t="s">
        <v>84</v>
      </c>
    </row>
    <row r="5" spans="1:5" x14ac:dyDescent="0.25">
      <c r="A5" s="66" t="s">
        <v>48</v>
      </c>
      <c r="B5" s="67">
        <f>MIN(ROUND('2 - Strom Erdgas Wärme Förderj.'!H22,0),1000000)+ROUND('2 - Strom Erdgas Wärme Förderj.'!H23,0)</f>
        <v>0</v>
      </c>
    </row>
    <row r="6" spans="1:5" x14ac:dyDescent="0.25">
      <c r="A6" s="66" t="s">
        <v>49</v>
      </c>
      <c r="B6" s="67">
        <f>ROUND('2 - Strom Erdgas Wärme Förderj.'!H26,4)</f>
        <v>0</v>
      </c>
    </row>
    <row r="7" spans="1:5" x14ac:dyDescent="0.25">
      <c r="A7" s="66" t="s">
        <v>50</v>
      </c>
      <c r="B7" s="67">
        <f>ROUND('2 - Strom Erdgas Wärme Förderj.'!H27,4)</f>
        <v>0</v>
      </c>
    </row>
    <row r="8" spans="1:5" x14ac:dyDescent="0.25">
      <c r="A8" s="66" t="s">
        <v>51</v>
      </c>
      <c r="B8" s="81">
        <f>ROUND('3 - Treibstoffe'!C28,0)</f>
        <v>0</v>
      </c>
    </row>
    <row r="9" spans="1:5" x14ac:dyDescent="0.25">
      <c r="A9" s="66" t="s">
        <v>52</v>
      </c>
      <c r="B9" s="82">
        <f>ROUND('3 - Treibstoffe'!C29,4)</f>
        <v>0</v>
      </c>
    </row>
    <row r="10" spans="1:5" x14ac:dyDescent="0.25">
      <c r="A10" s="70" t="s">
        <v>57</v>
      </c>
      <c r="B10" s="71">
        <f>MIN(ROUND('2 - Strom Erdgas Wärme Förderj.'!H31,0),1000000)+ROUND('2 - Strom Erdgas Wärme Förderj.'!H32,0)</f>
        <v>0</v>
      </c>
    </row>
    <row r="11" spans="1:5" x14ac:dyDescent="0.25">
      <c r="A11" s="70" t="s">
        <v>59</v>
      </c>
      <c r="B11" s="71">
        <f>ROUND('2 - Strom Erdgas Wärme Förderj.'!H36,4)</f>
        <v>0</v>
      </c>
    </row>
    <row r="12" spans="1:5" x14ac:dyDescent="0.25">
      <c r="A12" s="70" t="s">
        <v>58</v>
      </c>
      <c r="B12" s="71">
        <f>ROUND('2 - Strom Erdgas Wärme Förderj.'!H37,4)</f>
        <v>0</v>
      </c>
    </row>
    <row r="13" spans="1:5" x14ac:dyDescent="0.25">
      <c r="A13" s="70" t="s">
        <v>60</v>
      </c>
      <c r="B13" s="77">
        <f>ROUND('2 - Strom Erdgas Wärme Förderj.'!H34,2)</f>
        <v>0</v>
      </c>
    </row>
    <row r="14" spans="1:5" x14ac:dyDescent="0.25">
      <c r="A14" s="66" t="s">
        <v>170</v>
      </c>
      <c r="B14" s="67">
        <f>ROUND('4 - Heizöl_Holzpellets_Hacksch.'!E44,0)</f>
        <v>0</v>
      </c>
    </row>
    <row r="15" spans="1:5" x14ac:dyDescent="0.25">
      <c r="A15" s="66" t="s">
        <v>171</v>
      </c>
      <c r="B15" s="67">
        <f>ROUND('4 - Heizöl_Holzpellets_Hacksch.'!E20,4)</f>
        <v>0</v>
      </c>
    </row>
    <row r="16" spans="1:5" x14ac:dyDescent="0.25">
      <c r="A16" s="66" t="s">
        <v>172</v>
      </c>
      <c r="B16" s="67">
        <f>ROUND('4 - Heizöl_Holzpellets_Hacksch.'!E33,4)</f>
        <v>0</v>
      </c>
    </row>
    <row r="17" spans="1:2" x14ac:dyDescent="0.25">
      <c r="A17" s="66" t="s">
        <v>173</v>
      </c>
      <c r="B17" s="67">
        <f>ROUND('4 - Heizöl_Holzpellets_Hacksch.'!E45,4)</f>
        <v>0</v>
      </c>
    </row>
    <row r="18" spans="1:2" x14ac:dyDescent="0.25">
      <c r="A18" s="66" t="s">
        <v>174</v>
      </c>
      <c r="B18" s="67">
        <f>ROUND('4 - Heizöl_Holzpellets_Hacksch.'!E24,4)</f>
        <v>0</v>
      </c>
    </row>
    <row r="19" spans="1:2" x14ac:dyDescent="0.25">
      <c r="A19" s="66" t="s">
        <v>175</v>
      </c>
      <c r="B19" s="67">
        <f>ROUND('4 - Heizöl_Holzpellets_Hacksch.'!E37,4)</f>
        <v>0</v>
      </c>
    </row>
    <row r="20" spans="1:2" x14ac:dyDescent="0.25">
      <c r="A20" s="66" t="s">
        <v>176</v>
      </c>
      <c r="B20" s="67">
        <f>ROUND('4 - Heizöl_Holzpellets_Hacksch.'!E46,4)</f>
        <v>0</v>
      </c>
    </row>
    <row r="21" spans="1:2" x14ac:dyDescent="0.25">
      <c r="A21" s="66" t="s">
        <v>177</v>
      </c>
      <c r="B21" s="67">
        <f>ROUND('4 - Heizöl_Holzpellets_Hacksch.'!E25,4)</f>
        <v>0</v>
      </c>
    </row>
    <row r="22" spans="1:2" x14ac:dyDescent="0.25">
      <c r="A22" s="66" t="s">
        <v>178</v>
      </c>
      <c r="B22" s="67">
        <f>ROUND('4 - Heizöl_Holzpellets_Hacksch.'!E38,4)</f>
        <v>0</v>
      </c>
    </row>
  </sheetData>
  <pageMargins left="0.7" right="0.7" top="0.78740157499999996" bottom="0.78740157499999996" header="0.3" footer="0.3"/>
  <pageSetup paperSize="9" orientation="portrait" r:id="rId1"/>
  <tableParts count="2">
    <tablePart r:id="rId2"/>
    <tablePart r:id="rId3"/>
  </tableParts>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Tabelle6"/>
  <dimension ref="A1:X16"/>
  <sheetViews>
    <sheetView zoomScale="80" zoomScaleNormal="80" workbookViewId="0">
      <selection activeCell="R67" sqref="R67"/>
    </sheetView>
  </sheetViews>
  <sheetFormatPr baseColWidth="10" defaultColWidth="11.42578125" defaultRowHeight="16.5" x14ac:dyDescent="0.3"/>
  <cols>
    <col min="23" max="24" width="11.42578125" style="1"/>
  </cols>
  <sheetData>
    <row r="1" spans="1:22" x14ac:dyDescent="0.3">
      <c r="B1" s="11"/>
      <c r="C1" s="11"/>
      <c r="D1" s="11"/>
      <c r="E1" s="11"/>
      <c r="F1" s="11"/>
      <c r="G1" s="11"/>
      <c r="H1" s="11"/>
      <c r="I1" s="11"/>
      <c r="J1" s="11"/>
      <c r="K1" s="11"/>
      <c r="L1" s="11"/>
      <c r="M1" s="11"/>
      <c r="N1" s="11"/>
      <c r="O1" s="11"/>
      <c r="P1" s="11"/>
      <c r="Q1" s="11"/>
      <c r="R1" s="11"/>
      <c r="S1" s="11"/>
      <c r="T1" s="11"/>
      <c r="U1" s="11"/>
      <c r="V1" s="11"/>
    </row>
    <row r="2" spans="1:22" s="1" customFormat="1" ht="19.5" thickBot="1" x14ac:dyDescent="0.45">
      <c r="A2"/>
      <c r="B2" s="2" t="s">
        <v>6</v>
      </c>
      <c r="C2" s="3"/>
      <c r="D2" s="3"/>
      <c r="E2" s="3"/>
      <c r="F2" s="3"/>
      <c r="G2" s="3"/>
      <c r="H2" s="3"/>
      <c r="I2" s="45">
        <f>par_FZ_SEW_Start</f>
        <v>44927</v>
      </c>
      <c r="J2" s="45">
        <f>EOMONTH(I2,0)+1</f>
        <v>44958</v>
      </c>
      <c r="K2" s="45">
        <f t="shared" ref="K2:N2" si="0">EOMONTH(J2,0)+1</f>
        <v>44986</v>
      </c>
      <c r="L2" s="45">
        <f t="shared" si="0"/>
        <v>45017</v>
      </c>
      <c r="M2" s="45">
        <f t="shared" si="0"/>
        <v>45047</v>
      </c>
      <c r="N2" s="45">
        <f t="shared" si="0"/>
        <v>45078</v>
      </c>
      <c r="O2" s="3"/>
      <c r="P2" s="8"/>
      <c r="Q2" s="8"/>
      <c r="R2" s="8"/>
      <c r="S2" s="8"/>
      <c r="T2" s="8"/>
      <c r="U2" s="8"/>
      <c r="V2" s="3"/>
    </row>
    <row r="3" spans="1:22" s="1" customFormat="1" ht="17.25" thickBot="1" x14ac:dyDescent="0.35">
      <c r="A3"/>
      <c r="B3" s="3" t="s">
        <v>20</v>
      </c>
      <c r="C3" s="3"/>
      <c r="D3" s="3"/>
      <c r="E3" s="3"/>
      <c r="F3" s="3"/>
      <c r="G3" s="3"/>
      <c r="H3" s="85" t="s">
        <v>87</v>
      </c>
      <c r="I3" s="14"/>
      <c r="J3" s="15"/>
      <c r="K3" s="15"/>
      <c r="L3" s="15"/>
      <c r="M3" s="15"/>
      <c r="N3" s="15"/>
      <c r="O3" s="4" t="s">
        <v>4</v>
      </c>
      <c r="P3" s="3" t="s">
        <v>21</v>
      </c>
      <c r="Q3" s="8"/>
      <c r="R3" s="8"/>
      <c r="S3" s="8"/>
      <c r="T3" s="8"/>
      <c r="U3" s="8"/>
      <c r="V3" s="3"/>
    </row>
    <row r="4" spans="1:22" s="1" customFormat="1" ht="17.25" thickBot="1" x14ac:dyDescent="0.35">
      <c r="A4"/>
      <c r="B4" s="3" t="s">
        <v>8</v>
      </c>
      <c r="C4" s="3"/>
      <c r="D4" s="3"/>
      <c r="E4" s="3"/>
      <c r="F4" s="3"/>
      <c r="G4" s="3"/>
      <c r="H4" s="19"/>
      <c r="I4" s="14"/>
      <c r="J4" s="15"/>
      <c r="K4" s="15"/>
      <c r="L4" s="15"/>
      <c r="M4" s="15"/>
      <c r="N4" s="15"/>
      <c r="O4" s="4"/>
      <c r="P4" s="3"/>
      <c r="Q4" s="8"/>
      <c r="R4" s="8"/>
      <c r="S4" s="8"/>
      <c r="T4" s="8"/>
      <c r="U4" s="8"/>
      <c r="V4" s="3"/>
    </row>
    <row r="5" spans="1:22" s="1" customFormat="1" ht="17.25" thickBot="1" x14ac:dyDescent="0.35">
      <c r="A5"/>
      <c r="B5" s="3" t="s">
        <v>10</v>
      </c>
      <c r="C5" s="3"/>
      <c r="D5" s="3"/>
      <c r="E5" s="3"/>
      <c r="F5" s="3"/>
      <c r="G5" s="3"/>
      <c r="H5" s="20"/>
      <c r="I5" s="16"/>
      <c r="J5" s="17"/>
      <c r="K5" s="17"/>
      <c r="L5" s="17"/>
      <c r="M5" s="17"/>
      <c r="N5" s="17"/>
      <c r="O5" s="4" t="s">
        <v>4</v>
      </c>
      <c r="P5" s="3" t="s">
        <v>11</v>
      </c>
      <c r="Q5" s="8"/>
      <c r="R5" s="8"/>
      <c r="S5" s="8"/>
      <c r="T5" s="8"/>
      <c r="U5" s="8"/>
      <c r="V5" s="3"/>
    </row>
    <row r="6" spans="1:22" s="1" customFormat="1" ht="17.25" thickBot="1" x14ac:dyDescent="0.35">
      <c r="A6"/>
      <c r="B6" s="3" t="str">
        <f>IF(H5="Erdgas","Arbeitspreis pro kWh Erdgas in EUR",IF(H5="Strom","Arbeitspreis pro kWh Strom in EUR",IF(H5="Wärme/Kälte","Arbeitspreis pro kWh Wärme-/Kälteverbrauch in EUR","Bitte Energieart auswählen!")))</f>
        <v>Bitte Energieart auswählen!</v>
      </c>
      <c r="C6" s="3"/>
      <c r="D6" s="3"/>
      <c r="E6" s="3"/>
      <c r="F6" s="3"/>
      <c r="G6" s="13">
        <f>IFERROR(SUMPRODUCT(I6:N6,I7:N7),"")</f>
        <v>0</v>
      </c>
      <c r="H6" s="3"/>
      <c r="I6" s="21"/>
      <c r="J6" s="21"/>
      <c r="K6" s="21"/>
      <c r="L6" s="21"/>
      <c r="M6" s="21"/>
      <c r="N6" s="21"/>
      <c r="O6" s="4" t="s">
        <v>4</v>
      </c>
      <c r="P6" s="3" t="str">
        <f>IF(H5="Erdgas","Erdgaskosten exkl. Steuern, Abgaben, Netzentgelte, etc.","Stromkosten exkl. Steuern, Abgaben, Netzentgelte, etc.")</f>
        <v>Stromkosten exkl. Steuern, Abgaben, Netzentgelte, etc.</v>
      </c>
      <c r="Q6" s="3"/>
      <c r="R6" s="3"/>
      <c r="S6" s="9"/>
      <c r="T6" s="6"/>
      <c r="U6" s="7"/>
      <c r="V6" s="3"/>
    </row>
    <row r="7" spans="1:22" s="1" customFormat="1" ht="17.25" thickBot="1" x14ac:dyDescent="0.35">
      <c r="A7"/>
      <c r="B7" s="3" t="str">
        <f>IF(AND(H5="Erdgas",H4="Nein"),"Aliquoter Erdgasverbrauch in kWh von 1. Oktober 2022 bis 31. Dezember 2022",IF(H5="Erdgas","Erdgasverbrauch in kWh von 1. Oktober 2022 bis 31. Dezember 2022",IF(AND(H5="Strom",H4="Nein"),"Aliquoter Stromverbrauch in kWh von 1. Oktober 2022 bis 31. Dezember 2022",IF(H5="Strom","Stromverbrauch in kWh von 1. Oktober 2022 bis 31. Dezember 2022",IF(AND(H5="Wärme/Kälte",H4="Nein"),"Aliquoter Wärme-/Kälteverbrauch in kWh von 1. Oktober 2022 bis 31. Dezember 2022",IF(H5="Wärme/Kälte","Wärme-/Kälteverbrauch in kWh von 1. Oktober 2022 bis 31. Dezember 2022","Bitte Energieart auswählen!"))))))</f>
        <v>Bitte Energieart auswählen!</v>
      </c>
      <c r="C7" s="3"/>
      <c r="D7" s="3"/>
      <c r="E7" s="3"/>
      <c r="F7" s="3"/>
      <c r="G7" s="3"/>
      <c r="H7" s="18">
        <f>SUM(I7:N7)</f>
        <v>0</v>
      </c>
      <c r="I7" s="22" t="str">
        <f>IFERROR(IF(H4="Nein",VLOOKUP(H3,'1 - Strom Erdgas Wärme Vgl'!H:AA,20,FALSE)/12,""),"")</f>
        <v/>
      </c>
      <c r="J7" s="22" t="str">
        <f>IFERROR(IF(H4="Nein",VLOOKUP(H3,'1 - Strom Erdgas Wärme Vgl'!H:AA,20,FALSE)/12,""),"")</f>
        <v/>
      </c>
      <c r="K7" s="22" t="str">
        <f>IFERROR(IF(I4="Nein",VLOOKUP(I3,'1 - Strom Erdgas Wärme Vgl'!I:AB,20,FALSE)/12,""),"")</f>
        <v/>
      </c>
      <c r="L7" s="22" t="str">
        <f>IFERROR(IF(J4="Nein",VLOOKUP(J3,'1 - Strom Erdgas Wärme Vgl'!J:AC,20,FALSE)/12,""),"")</f>
        <v/>
      </c>
      <c r="M7" s="22" t="str">
        <f>IFERROR(IF(K4="Nein",VLOOKUP(K3,'1 - Strom Erdgas Wärme Vgl'!K:AD,20,FALSE)/12,""),"")</f>
        <v/>
      </c>
      <c r="N7" s="22" t="str">
        <f>IFERROR(IF(H4="Nein",VLOOKUP(H3,'1 - Strom Erdgas Wärme Vgl'!H:AA,12,FALSE)/12,""),"")</f>
        <v/>
      </c>
      <c r="O7" s="4" t="s">
        <v>4</v>
      </c>
      <c r="P7" s="23" t="str">
        <f>IFERROR(IF(H4="Nein","Vorbefüllte Verbrauchswerte wurden aliquot (d.h. 1/12) aus dem Jahr 2021 übernommen.","Bitte ergänzen Sie die monatlichen Verbrauchswerte gem. Lastprofilzähler"),"")</f>
        <v>Bitte ergänzen Sie die monatlichen Verbrauchswerte gem. Lastprofilzähler</v>
      </c>
      <c r="Q7" s="24"/>
      <c r="R7" s="24"/>
      <c r="S7" s="24"/>
      <c r="T7" s="24"/>
      <c r="U7" s="24"/>
      <c r="V7" s="24"/>
    </row>
    <row r="8" spans="1:22" s="1" customFormat="1" x14ac:dyDescent="0.3">
      <c r="A8"/>
      <c r="B8" s="3"/>
      <c r="C8" s="3"/>
      <c r="D8" s="3"/>
      <c r="E8" s="3"/>
      <c r="F8" s="3"/>
      <c r="G8" s="3"/>
      <c r="H8" s="12"/>
      <c r="I8" s="5"/>
      <c r="J8" s="5"/>
      <c r="K8" s="5"/>
      <c r="L8" s="5"/>
      <c r="M8" s="5"/>
      <c r="N8" s="5"/>
      <c r="O8" s="10"/>
      <c r="P8" s="24"/>
      <c r="Q8" s="24"/>
      <c r="R8" s="24"/>
      <c r="S8" s="24"/>
      <c r="T8" s="24"/>
      <c r="U8" s="24"/>
      <c r="V8" s="24"/>
    </row>
    <row r="16" spans="1:22" ht="13.15" customHeight="1" x14ac:dyDescent="0.3"/>
  </sheetData>
  <dataValidations count="3">
    <dataValidation type="list" operator="equal" allowBlank="1" showErrorMessage="1" errorTitle="Achtung" error="Bitte wählen Sie Ja oder Nein." sqref="H4">
      <formula1>Auswahl_JaNein</formula1>
    </dataValidation>
    <dataValidation type="textLength" allowBlank="1" showErrorMessage="1" errorTitle="Achtung" error="Bitte geben Sie nur die letzten vier Stellen Ihrer Zählpunktnummer an." sqref="H3">
      <formula1>4</formula1>
      <formula2>4</formula2>
    </dataValidation>
    <dataValidation type="list" allowBlank="1" showInputMessage="1" showErrorMessage="1" errorTitle="Achtung" error="Bitte wählen Sie eine gültige Energieart aus." sqref="H5">
      <formula1>Auswahl_Energieart</formula1>
    </dataValidation>
  </dataValidations>
  <pageMargins left="0.7" right="0.7" top="0.78740157499999996" bottom="0.78740157499999996" header="0.3" footer="0.3"/>
  <pageSetup paperSize="9" orientation="portrait" r:id="rId1"/>
  <ignoredErrors>
    <ignoredError sqref="H3" numberStoredAsText="1"/>
  </ignoredErrors>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Tabelle10">
    <tabColor rgb="FF7030A0"/>
  </sheetPr>
  <dimension ref="A1:M38"/>
  <sheetViews>
    <sheetView topLeftCell="A17" workbookViewId="0">
      <selection activeCell="B35" sqref="B35"/>
    </sheetView>
  </sheetViews>
  <sheetFormatPr baseColWidth="10" defaultColWidth="10.7109375" defaultRowHeight="15" x14ac:dyDescent="0.25"/>
  <cols>
    <col min="1" max="1" width="24.7109375" style="102" customWidth="1"/>
    <col min="2" max="2" width="21.42578125" style="102" customWidth="1"/>
    <col min="3" max="3" width="25.140625" style="102" customWidth="1"/>
    <col min="4" max="4" width="13.7109375" style="102" customWidth="1"/>
    <col min="5" max="5" width="25.140625" style="102" customWidth="1"/>
    <col min="6" max="6" width="10.7109375" style="102"/>
    <col min="7" max="7" width="19.140625" style="102" customWidth="1"/>
    <col min="8" max="8" width="10.7109375" style="102"/>
    <col min="9" max="9" width="14.5703125" style="102" customWidth="1"/>
    <col min="10" max="11" width="10.7109375" style="102"/>
    <col min="12" max="12" width="33.28515625" style="102" customWidth="1"/>
    <col min="13" max="13" width="20.7109375" style="102" customWidth="1"/>
    <col min="14" max="16384" width="10.7109375" style="102"/>
  </cols>
  <sheetData>
    <row r="1" spans="1:13" ht="16.5" thickTop="1" thickBot="1" x14ac:dyDescent="0.3">
      <c r="A1" s="102" t="s">
        <v>88</v>
      </c>
      <c r="B1" s="139">
        <v>2021</v>
      </c>
    </row>
    <row r="2" spans="1:13" ht="16.5" thickTop="1" thickBot="1" x14ac:dyDescent="0.3">
      <c r="A2" s="102" t="s">
        <v>89</v>
      </c>
      <c r="B2" s="139">
        <v>2023</v>
      </c>
    </row>
    <row r="3" spans="1:13" ht="16.5" thickTop="1" thickBot="1" x14ac:dyDescent="0.3">
      <c r="A3" s="102" t="s">
        <v>90</v>
      </c>
      <c r="B3" s="140">
        <v>44927</v>
      </c>
      <c r="C3" s="141" t="s">
        <v>103</v>
      </c>
      <c r="D3" s="142">
        <f>EOMONTH(par_FZ_SEW_Start,0)</f>
        <v>44957</v>
      </c>
      <c r="E3" s="141" t="s">
        <v>104</v>
      </c>
      <c r="F3" s="143">
        <f>EOMONTH(par_FZ_SEW_Start,0)+1</f>
        <v>44958</v>
      </c>
      <c r="G3" s="141" t="s">
        <v>105</v>
      </c>
      <c r="H3" s="143">
        <f>EOMONTH(par_FZ_SEW_Start,1)</f>
        <v>44985</v>
      </c>
      <c r="I3" s="141" t="s">
        <v>106</v>
      </c>
      <c r="J3" s="144">
        <f>par_FZ_SEW_Ende-par_FZ_SEW_Start</f>
        <v>180</v>
      </c>
    </row>
    <row r="4" spans="1:13" ht="16.5" thickTop="1" thickBot="1" x14ac:dyDescent="0.3">
      <c r="A4" s="102" t="s">
        <v>91</v>
      </c>
      <c r="B4" s="140">
        <v>45107</v>
      </c>
      <c r="C4" s="141" t="s">
        <v>103</v>
      </c>
      <c r="D4" s="143">
        <f>EOMONTH(par_FZ_SEW_Ende,0)</f>
        <v>45107</v>
      </c>
      <c r="E4" s="141" t="s">
        <v>104</v>
      </c>
      <c r="F4" s="143">
        <f>EOMONTH(par_FZ_SEW_Ende,0)+1</f>
        <v>45108</v>
      </c>
      <c r="G4" s="141" t="s">
        <v>105</v>
      </c>
      <c r="H4" s="143">
        <f>EOMONTH(par_FZ_SEW_Ende,1)</f>
        <v>45138</v>
      </c>
      <c r="I4" s="141" t="s">
        <v>107</v>
      </c>
      <c r="J4" s="145">
        <f>MONTH(par_FZ_SEW_Ende)-MONTH(par_FZ_SEW_Start)+1</f>
        <v>6</v>
      </c>
      <c r="K4" s="141" t="s">
        <v>112</v>
      </c>
      <c r="L4" s="144" t="str">
        <f>"von " &amp; TEXT(par_FZ_SEW_Start,"t. MMMM jjjj") &amp; " bis " &amp; TEXT(par_FZ_SEW_Ende,"t. MMMM jjjj")</f>
        <v>von 1. Jänner 2023 bis 30. Juni 2023</v>
      </c>
      <c r="M4" s="144" t="str">
        <f>TEXT(par_FZ_SEW_Start,"tt.MM.jjjj") &amp; "-" &amp; TEXT(par_FZ_SEW_Ende,"tt.MM.jjjj")</f>
        <v>01.01.2023-30.06.2023</v>
      </c>
    </row>
    <row r="5" spans="1:13" ht="16.5" thickTop="1" thickBot="1" x14ac:dyDescent="0.3">
      <c r="A5" s="102" t="s">
        <v>92</v>
      </c>
      <c r="B5" s="140">
        <v>44197</v>
      </c>
      <c r="C5" s="141" t="s">
        <v>103</v>
      </c>
      <c r="D5" s="143">
        <f>EOMONTH(par_VZ_SEW_Start,0)</f>
        <v>44227</v>
      </c>
      <c r="E5" s="141" t="s">
        <v>104</v>
      </c>
      <c r="F5" s="143">
        <f>EOMONTH(par_VZ_SEW_Start,0)+1</f>
        <v>44228</v>
      </c>
      <c r="G5" s="141" t="s">
        <v>105</v>
      </c>
      <c r="H5" s="143">
        <f>EOMONTH(par_VZ_SEW_Start,1)</f>
        <v>44255</v>
      </c>
      <c r="I5" s="141" t="s">
        <v>106</v>
      </c>
      <c r="J5" s="144">
        <f>par_VZ_SEW_Ende-par_VZ_SEW_Start</f>
        <v>364</v>
      </c>
    </row>
    <row r="6" spans="1:13" ht="16.5" thickTop="1" thickBot="1" x14ac:dyDescent="0.3">
      <c r="A6" s="102" t="s">
        <v>93</v>
      </c>
      <c r="B6" s="140">
        <v>44561</v>
      </c>
      <c r="C6" s="141" t="s">
        <v>103</v>
      </c>
      <c r="D6" s="143">
        <f>EOMONTH(par_VZ_SEW_Ende,0)</f>
        <v>44561</v>
      </c>
      <c r="E6" s="141" t="s">
        <v>104</v>
      </c>
      <c r="F6" s="143">
        <f>EOMONTH(par_VZ_SEW_Ende,0)+1</f>
        <v>44562</v>
      </c>
      <c r="G6" s="141" t="s">
        <v>105</v>
      </c>
      <c r="H6" s="143">
        <f>EOMONTH(par_VZ_SEW_Ende,1)</f>
        <v>44592</v>
      </c>
      <c r="I6" s="141" t="s">
        <v>107</v>
      </c>
      <c r="J6" s="145">
        <f>MONTH(par_VZ_SEW_Ende)-MONTH(par_VZ_SEW_Start)+1</f>
        <v>12</v>
      </c>
      <c r="K6" s="141" t="s">
        <v>112</v>
      </c>
      <c r="L6" s="144" t="str">
        <f>"von " &amp; TEXT(par_VZ_SEW_Start,"t. MMMM jjjj") &amp; " bis " &amp; TEXT(par_VZ_SEW_Ende,"t. MMMM jjjj")</f>
        <v>von 1. Jänner 2021 bis 31. Dezember 2021</v>
      </c>
      <c r="M6" s="144" t="str">
        <f>TEXT(par_VZ_SEW_Start,"tt.MM.jjjj") &amp; "-" &amp; TEXT(par_VZ_SEW_Ende,"tt.MM.jjjj")</f>
        <v>01.01.2021-31.12.2021</v>
      </c>
    </row>
    <row r="7" spans="1:13" ht="16.5" thickTop="1" thickBot="1" x14ac:dyDescent="0.3">
      <c r="A7" s="102" t="s">
        <v>94</v>
      </c>
      <c r="B7" s="148">
        <v>0.2</v>
      </c>
      <c r="C7" s="141" t="s">
        <v>113</v>
      </c>
      <c r="D7" s="144">
        <f>1+par_TS_Ust</f>
        <v>1.2</v>
      </c>
    </row>
    <row r="8" spans="1:13" ht="16.5" thickTop="1" thickBot="1" x14ac:dyDescent="0.3">
      <c r="A8" s="102" t="s">
        <v>217</v>
      </c>
      <c r="B8" s="164">
        <f>39.7/100</f>
        <v>0.39700000000000002</v>
      </c>
    </row>
    <row r="9" spans="1:13" ht="16.5" thickTop="1" thickBot="1" x14ac:dyDescent="0.3">
      <c r="A9" s="102" t="s">
        <v>218</v>
      </c>
      <c r="B9" s="164">
        <f>48.2/100</f>
        <v>0.48200000000000004</v>
      </c>
    </row>
    <row r="10" spans="1:13" ht="16.5" thickTop="1" thickBot="1" x14ac:dyDescent="0.3">
      <c r="A10" s="102" t="s">
        <v>219</v>
      </c>
      <c r="B10" s="164">
        <f>42.5/100</f>
        <v>0.42499999999999999</v>
      </c>
    </row>
    <row r="11" spans="1:13" ht="16.5" thickTop="1" thickBot="1" x14ac:dyDescent="0.3">
      <c r="A11" s="102" t="s">
        <v>220</v>
      </c>
      <c r="B11" s="164">
        <f>51.5/100</f>
        <v>0.51500000000000001</v>
      </c>
    </row>
    <row r="12" spans="1:13" ht="16.5" thickTop="1" thickBot="1" x14ac:dyDescent="0.3">
      <c r="A12" s="102" t="s">
        <v>95</v>
      </c>
      <c r="B12" s="147">
        <v>1000000</v>
      </c>
    </row>
    <row r="13" spans="1:13" ht="16.5" thickTop="1" thickBot="1" x14ac:dyDescent="0.3">
      <c r="A13" s="102" t="s">
        <v>96</v>
      </c>
      <c r="B13" s="148">
        <v>0.5</v>
      </c>
    </row>
    <row r="14" spans="1:13" ht="16.5" thickTop="1" thickBot="1" x14ac:dyDescent="0.3">
      <c r="A14" s="102" t="s">
        <v>97</v>
      </c>
      <c r="B14" s="147">
        <v>1000000</v>
      </c>
    </row>
    <row r="15" spans="1:13" ht="16.5" thickTop="1" thickBot="1" x14ac:dyDescent="0.3">
      <c r="A15" s="102" t="s">
        <v>98</v>
      </c>
      <c r="B15" s="148">
        <v>0.5</v>
      </c>
    </row>
    <row r="16" spans="1:13" ht="16.5" thickTop="1" thickBot="1" x14ac:dyDescent="0.3">
      <c r="A16" s="102" t="s">
        <v>99</v>
      </c>
      <c r="B16" s="147">
        <v>1000000</v>
      </c>
    </row>
    <row r="17" spans="1:4" ht="16.5" thickTop="1" thickBot="1" x14ac:dyDescent="0.3">
      <c r="A17" s="102" t="s">
        <v>100</v>
      </c>
      <c r="B17" s="148">
        <v>0.5</v>
      </c>
    </row>
    <row r="18" spans="1:4" ht="16.5" thickTop="1" thickBot="1" x14ac:dyDescent="0.3">
      <c r="A18" s="102" t="s">
        <v>193</v>
      </c>
      <c r="B18" s="149">
        <v>0.6</v>
      </c>
    </row>
    <row r="19" spans="1:4" ht="16.5" thickTop="1" thickBot="1" x14ac:dyDescent="0.3">
      <c r="A19" s="102" t="s">
        <v>101</v>
      </c>
      <c r="B19" s="148">
        <v>0.5</v>
      </c>
    </row>
    <row r="20" spans="1:4" ht="16.5" thickTop="1" thickBot="1" x14ac:dyDescent="0.3">
      <c r="A20" s="102" t="s">
        <v>241</v>
      </c>
      <c r="B20" s="148">
        <v>0.5</v>
      </c>
    </row>
    <row r="21" spans="1:4" ht="16.5" thickTop="1" thickBot="1" x14ac:dyDescent="0.3">
      <c r="A21" s="102" t="s">
        <v>102</v>
      </c>
      <c r="B21" s="150" t="s">
        <v>207</v>
      </c>
    </row>
    <row r="22" spans="1:4" ht="16.5" thickTop="1" thickBot="1" x14ac:dyDescent="0.3">
      <c r="A22" s="102" t="s">
        <v>108</v>
      </c>
      <c r="B22" s="139" t="s">
        <v>109</v>
      </c>
    </row>
    <row r="23" spans="1:4" ht="16.5" thickTop="1" thickBot="1" x14ac:dyDescent="0.3">
      <c r="A23" s="102" t="s">
        <v>110</v>
      </c>
      <c r="B23" s="151">
        <v>80000000</v>
      </c>
      <c r="C23" s="141" t="s">
        <v>111</v>
      </c>
      <c r="D23" s="143" t="str">
        <f>TEXT(par_EZ_Grenze,"0.." &amp; """" &amp; " Mio" &amp; """")</f>
        <v>80 Mio</v>
      </c>
    </row>
    <row r="24" spans="1:4" ht="16.5" thickTop="1" thickBot="1" x14ac:dyDescent="0.3">
      <c r="A24" s="102" t="s">
        <v>114</v>
      </c>
      <c r="B24" s="153">
        <v>1500</v>
      </c>
    </row>
    <row r="25" spans="1:4" ht="16.5" thickTop="1" thickBot="1" x14ac:dyDescent="0.3">
      <c r="A25" s="102" t="s">
        <v>115</v>
      </c>
      <c r="B25" s="153">
        <v>500</v>
      </c>
    </row>
    <row r="26" spans="1:4" ht="16.5" thickTop="1" thickBot="1" x14ac:dyDescent="0.3">
      <c r="A26" s="102" t="s">
        <v>117</v>
      </c>
      <c r="B26" s="153">
        <v>15000</v>
      </c>
    </row>
    <row r="27" spans="1:4" ht="16.5" thickTop="1" thickBot="1" x14ac:dyDescent="0.3">
      <c r="A27" s="102" t="s">
        <v>116</v>
      </c>
      <c r="B27" s="153">
        <v>2000000</v>
      </c>
    </row>
    <row r="28" spans="1:4" ht="16.5" thickTop="1" thickBot="1" x14ac:dyDescent="0.3">
      <c r="A28" s="102" t="s">
        <v>194</v>
      </c>
      <c r="B28" s="148">
        <v>0.2</v>
      </c>
    </row>
    <row r="29" spans="1:4" ht="16.5" thickTop="1" thickBot="1" x14ac:dyDescent="0.3">
      <c r="A29" s="102" t="s">
        <v>164</v>
      </c>
      <c r="B29" s="148">
        <v>0.13</v>
      </c>
    </row>
    <row r="30" spans="1:4" ht="16.5" thickTop="1" thickBot="1" x14ac:dyDescent="0.3">
      <c r="A30" s="102" t="s">
        <v>165</v>
      </c>
      <c r="B30" s="148">
        <v>0.13</v>
      </c>
    </row>
    <row r="31" spans="1:4" ht="16.5" thickTop="1" thickBot="1" x14ac:dyDescent="0.3">
      <c r="A31" s="102" t="s">
        <v>192</v>
      </c>
      <c r="B31" s="148">
        <v>1.62</v>
      </c>
    </row>
    <row r="32" spans="1:4" ht="16.5" thickTop="1" thickBot="1" x14ac:dyDescent="0.3">
      <c r="A32" s="102" t="s">
        <v>166</v>
      </c>
      <c r="B32" s="148">
        <v>1.87</v>
      </c>
    </row>
    <row r="33" spans="1:2" ht="16.5" thickTop="1" thickBot="1" x14ac:dyDescent="0.3">
      <c r="A33" s="102" t="s">
        <v>163</v>
      </c>
      <c r="B33" s="148">
        <v>1.24</v>
      </c>
    </row>
    <row r="34" spans="1:2" ht="16.5" thickTop="1" thickBot="1" x14ac:dyDescent="0.3">
      <c r="A34" s="102" t="s">
        <v>181</v>
      </c>
      <c r="B34" s="152">
        <v>125000</v>
      </c>
    </row>
    <row r="35" spans="1:2" ht="16.5" thickTop="1" thickBot="1" x14ac:dyDescent="0.3">
      <c r="A35" s="102" t="s">
        <v>188</v>
      </c>
      <c r="B35" s="146">
        <v>0.4</v>
      </c>
    </row>
    <row r="36" spans="1:2" ht="16.5" thickTop="1" thickBot="1" x14ac:dyDescent="0.3">
      <c r="A36" s="102" t="s">
        <v>189</v>
      </c>
      <c r="B36" s="146">
        <v>0.7</v>
      </c>
    </row>
    <row r="37" spans="1:2" ht="16.5" thickTop="1" thickBot="1" x14ac:dyDescent="0.3">
      <c r="A37" s="102" t="s">
        <v>190</v>
      </c>
      <c r="B37" s="152">
        <v>500000</v>
      </c>
    </row>
    <row r="38" spans="1:2" ht="15.75" thickTop="1" x14ac:dyDescent="0.25"/>
  </sheetData>
  <pageMargins left="0.7" right="0.7" top="0.78740157499999996" bottom="0.78740157499999996" header="0.3" footer="0.3"/>
  <pageSetup paperSize="9" orientation="portrait" r:id="rId1"/>
  <ignoredErrors>
    <ignoredError sqref="J5" formula="1"/>
  </ignoredErrors>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Tabelle2">
    <tabColor rgb="FF7030A0"/>
  </sheetPr>
  <dimension ref="A1:W4"/>
  <sheetViews>
    <sheetView topLeftCell="G1" workbookViewId="0">
      <selection activeCell="L10" sqref="L10"/>
    </sheetView>
  </sheetViews>
  <sheetFormatPr baseColWidth="10" defaultColWidth="11.42578125" defaultRowHeight="15" x14ac:dyDescent="0.25"/>
  <cols>
    <col min="6" max="6" width="13.28515625" customWidth="1"/>
    <col min="8" max="9" width="19.140625" customWidth="1"/>
    <col min="11" max="11" width="30.7109375" customWidth="1"/>
    <col min="13" max="13" width="17.7109375" customWidth="1"/>
    <col min="14" max="14" width="23.28515625" customWidth="1"/>
    <col min="15" max="15" width="10.7109375" customWidth="1"/>
    <col min="19" max="19" width="21.140625" customWidth="1"/>
  </cols>
  <sheetData>
    <row r="1" spans="1:23" x14ac:dyDescent="0.25">
      <c r="A1" t="s">
        <v>10</v>
      </c>
      <c r="B1" t="s">
        <v>169</v>
      </c>
      <c r="D1" t="s">
        <v>85</v>
      </c>
      <c r="F1" t="s">
        <v>86</v>
      </c>
      <c r="H1" t="s">
        <v>128</v>
      </c>
      <c r="I1" t="s">
        <v>169</v>
      </c>
      <c r="K1" t="s">
        <v>158</v>
      </c>
      <c r="M1" t="s">
        <v>155</v>
      </c>
      <c r="N1" t="s">
        <v>157</v>
      </c>
      <c r="O1" t="s">
        <v>156</v>
      </c>
      <c r="Q1" t="s">
        <v>184</v>
      </c>
      <c r="S1" t="s">
        <v>36</v>
      </c>
      <c r="T1" t="s">
        <v>9</v>
      </c>
      <c r="U1" t="s">
        <v>195</v>
      </c>
      <c r="V1" t="s">
        <v>195</v>
      </c>
      <c r="W1" t="s">
        <v>195</v>
      </c>
    </row>
    <row r="2" spans="1:23" x14ac:dyDescent="0.25">
      <c r="A2" t="s">
        <v>15</v>
      </c>
      <c r="B2" t="s">
        <v>13</v>
      </c>
      <c r="D2" t="s">
        <v>14</v>
      </c>
      <c r="F2" t="s">
        <v>35</v>
      </c>
      <c r="H2" t="s">
        <v>159</v>
      </c>
      <c r="I2" t="s">
        <v>179</v>
      </c>
      <c r="K2" t="s">
        <v>146</v>
      </c>
      <c r="M2" t="s">
        <v>130</v>
      </c>
      <c r="N2" s="88" t="s">
        <v>240</v>
      </c>
      <c r="O2" s="90">
        <v>9.8000000000000004E-2</v>
      </c>
      <c r="Q2" t="s">
        <v>185</v>
      </c>
      <c r="S2" t="s">
        <v>35</v>
      </c>
      <c r="T2" t="s">
        <v>14</v>
      </c>
      <c r="U2" t="s">
        <v>196</v>
      </c>
      <c r="V2" t="s">
        <v>196</v>
      </c>
      <c r="W2" t="s">
        <v>197</v>
      </c>
    </row>
    <row r="3" spans="1:23" x14ac:dyDescent="0.25">
      <c r="A3" t="s">
        <v>18</v>
      </c>
      <c r="B3" t="s">
        <v>13</v>
      </c>
      <c r="D3" t="s">
        <v>9</v>
      </c>
      <c r="F3" t="s">
        <v>36</v>
      </c>
      <c r="H3" t="s">
        <v>118</v>
      </c>
      <c r="I3" t="s">
        <v>180</v>
      </c>
      <c r="K3" t="s">
        <v>147</v>
      </c>
      <c r="M3" t="s">
        <v>161</v>
      </c>
      <c r="N3" s="88" t="s">
        <v>160</v>
      </c>
      <c r="O3" s="91">
        <v>0.128</v>
      </c>
      <c r="Q3" t="s">
        <v>186</v>
      </c>
      <c r="U3" t="s">
        <v>197</v>
      </c>
    </row>
    <row r="4" spans="1:23" x14ac:dyDescent="0.25">
      <c r="A4" t="s">
        <v>53</v>
      </c>
      <c r="B4" t="s">
        <v>13</v>
      </c>
      <c r="H4" t="s">
        <v>119</v>
      </c>
      <c r="I4" t="s">
        <v>180</v>
      </c>
    </row>
  </sheetData>
  <conditionalFormatting sqref="O2:O3">
    <cfRule type="expression" dxfId="2" priority="1">
      <formula>ISNUMBER(SEARCH("NEIN",$E$7))</formula>
    </cfRule>
  </conditionalFormatting>
  <pageMargins left="0.7" right="0.7" top="0.78740157499999996" bottom="0.78740157499999996" header="0.3" footer="0.3"/>
  <tableParts count="7">
    <tablePart r:id="rId1"/>
    <tablePart r:id="rId2"/>
    <tablePart r:id="rId3"/>
    <tablePart r:id="rId4"/>
    <tablePart r:id="rId5"/>
    <tablePart r:id="rId6"/>
    <tablePart r:id="rId7"/>
  </tableParts>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ct:contentTypeSchema xmlns:ct="http://schemas.microsoft.com/office/2006/metadata/contentType" xmlns:ma="http://schemas.microsoft.com/office/2006/metadata/properties/metaAttributes" ct:_="" ma:_="" ma:contentTypeName="Dokument" ma:contentTypeID="0x0101002EE0FB56F6C7944B95FE0476062B8EB0" ma:contentTypeVersion="14" ma:contentTypeDescription="Ein neues Dokument erstellen." ma:contentTypeScope="" ma:versionID="a324a81c5c86926578a6f9b24eb46936">
  <xsd:schema xmlns:xsd="http://www.w3.org/2001/XMLSchema" xmlns:xs="http://www.w3.org/2001/XMLSchema" xmlns:p="http://schemas.microsoft.com/office/2006/metadata/properties" xmlns:ns2="d16c1a68-7abd-48ef-b484-7d54634ec3d5" xmlns:ns3="0c00c5cf-c319-4f5a-b81f-3ae9dd0ce32d" targetNamespace="http://schemas.microsoft.com/office/2006/metadata/properties" ma:root="true" ma:fieldsID="22f13bcef61ca4fa90115c1feec8cbd4" ns2:_="" ns3:_="">
    <xsd:import namespace="d16c1a68-7abd-48ef-b484-7d54634ec3d5"/>
    <xsd:import namespace="0c00c5cf-c319-4f5a-b81f-3ae9dd0ce32d"/>
    <xsd:element name="properties">
      <xsd:complexType>
        <xsd:sequence>
          <xsd:element name="documentManagement">
            <xsd:complexType>
              <xsd:all>
                <xsd:element ref="ns2:MediaServiceMetadata" minOccurs="0"/>
                <xsd:element ref="ns2:MediaServiceFastMetadata" minOccurs="0"/>
                <xsd:element ref="ns3:SharedWithUsers" minOccurs="0"/>
                <xsd:element ref="ns3:SharedWithDetails" minOccurs="0"/>
                <xsd:element ref="ns2:lcf76f155ced4ddcb4097134ff3c332f" minOccurs="0"/>
                <xsd:element ref="ns3:TaxCatchAll" minOccurs="0"/>
                <xsd:element ref="ns2:MediaServiceOCR" minOccurs="0"/>
                <xsd:element ref="ns2:MediaServiceGenerationTime" minOccurs="0"/>
                <xsd:element ref="ns2:MediaServiceEventHashCode" minOccurs="0"/>
                <xsd:element ref="ns2:Kommentar" minOccurs="0"/>
                <xsd:element ref="ns2:MediaServiceDateTaken" minOccurs="0"/>
                <xsd:element ref="ns2:MediaLengthInSeconds" minOccurs="0"/>
                <xsd:element ref="ns2:MediaServiceObjectDetectorVersion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d16c1a68-7abd-48ef-b484-7d54634ec3d5"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lcf76f155ced4ddcb4097134ff3c332f" ma:index="13" nillable="true" ma:taxonomy="true" ma:internalName="lcf76f155ced4ddcb4097134ff3c332f" ma:taxonomyFieldName="MediaServiceImageTags" ma:displayName="Bildmarkierungen" ma:readOnly="false" ma:fieldId="{5cf76f15-5ced-4ddc-b409-7134ff3c332f}" ma:taxonomyMulti="true" ma:sspId="247b62e5-8c39-4ebf-9884-a6d418dab9e7" ma:termSetId="09814cd3-568e-fe90-9814-8d621ff8fb84" ma:anchorId="fba54fb3-c3e1-fe81-a776-ca4b69148c4d" ma:open="true" ma:isKeyword="false">
      <xsd:complexType>
        <xsd:sequence>
          <xsd:element ref="pc:Terms" minOccurs="0" maxOccurs="1"/>
        </xsd:sequence>
      </xsd:complexType>
    </xsd:element>
    <xsd:element name="MediaServiceOCR" ma:index="15" nillable="true" ma:displayName="Extracted Text" ma:internalName="MediaServiceOCR" ma:readOnly="true">
      <xsd:simpleType>
        <xsd:restriction base="dms:Note">
          <xsd:maxLength value="255"/>
        </xsd:restriction>
      </xsd:simpleType>
    </xsd:element>
    <xsd:element name="MediaServiceGenerationTime" ma:index="16" nillable="true" ma:displayName="MediaServiceGenerationTime" ma:hidden="true" ma:internalName="MediaServiceGenerationTime" ma:readOnly="true">
      <xsd:simpleType>
        <xsd:restriction base="dms:Text"/>
      </xsd:simpleType>
    </xsd:element>
    <xsd:element name="MediaServiceEventHashCode" ma:index="17" nillable="true" ma:displayName="MediaServiceEventHashCode" ma:hidden="true" ma:internalName="MediaServiceEventHashCode" ma:readOnly="true">
      <xsd:simpleType>
        <xsd:restriction base="dms:Text"/>
      </xsd:simpleType>
    </xsd:element>
    <xsd:element name="Kommentar" ma:index="18" nillable="true" ma:displayName="Kommentar" ma:format="Dropdown" ma:internalName="Kommentar">
      <xsd:simpleType>
        <xsd:restriction base="dms:Note">
          <xsd:maxLength value="255"/>
        </xsd:restriction>
      </xsd:simpleType>
    </xsd:element>
    <xsd:element name="MediaServiceDateTaken" ma:index="19" nillable="true" ma:displayName="MediaServiceDateTaken" ma:hidden="true" ma:indexed="true" ma:internalName="MediaServiceDateTaken" ma:readOnly="true">
      <xsd:simpleType>
        <xsd:restriction base="dms:Text"/>
      </xsd:simpleType>
    </xsd:element>
    <xsd:element name="MediaLengthInSeconds" ma:index="20" nillable="true" ma:displayName="MediaLengthInSeconds" ma:hidden="true" ma:internalName="MediaLengthInSeconds" ma:readOnly="true">
      <xsd:simpleType>
        <xsd:restriction base="dms:Unknown"/>
      </xsd:simpleType>
    </xsd:element>
    <xsd:element name="MediaServiceObjectDetectorVersions" ma:index="21" nillable="true" ma:displayName="MediaServiceObjectDetectorVersions" ma:hidden="true" ma:indexed="true" ma:internalName="MediaServiceObjectDetectorVersions" ma:readOnly="true">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0c00c5cf-c319-4f5a-b81f-3ae9dd0ce32d" elementFormDefault="qualified">
    <xsd:import namespace="http://schemas.microsoft.com/office/2006/documentManagement/types"/>
    <xsd:import namespace="http://schemas.microsoft.com/office/infopath/2007/PartnerControls"/>
    <xsd:element name="SharedWithUsers" ma:index="10" nillable="true" ma:displayName="Freigegeben für"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1" nillable="true" ma:displayName="Freigegeben für - Details" ma:internalName="SharedWithDetails" ma:readOnly="true">
      <xsd:simpleType>
        <xsd:restriction base="dms:Note">
          <xsd:maxLength value="255"/>
        </xsd:restriction>
      </xsd:simpleType>
    </xsd:element>
    <xsd:element name="TaxCatchAll" ma:index="14" nillable="true" ma:displayName="Taxonomy Catch All Column" ma:hidden="true" ma:list="{31db6c35-aa5e-4a80-8695-b19a07b5f99c}" ma:internalName="TaxCatchAll" ma:showField="CatchAllData" ma:web="0c00c5cf-c319-4f5a-b81f-3ae9dd0ce32d">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Inhaltstyp"/>
        <xsd:element ref="dc:title" minOccurs="0" maxOccurs="1" ma:index="4" ma:displayName="Titel"/>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p:properties xmlns:p="http://schemas.microsoft.com/office/2006/metadata/properties" xmlns:xsi="http://www.w3.org/2001/XMLSchema-instance" xmlns:pc="http://schemas.microsoft.com/office/infopath/2007/PartnerControls">
  <documentManagement>
    <lcf76f155ced4ddcb4097134ff3c332f xmlns="d16c1a68-7abd-48ef-b484-7d54634ec3d5">
      <Terms xmlns="http://schemas.microsoft.com/office/infopath/2007/PartnerControls"/>
    </lcf76f155ced4ddcb4097134ff3c332f>
    <TaxCatchAll xmlns="0c00c5cf-c319-4f5a-b81f-3ae9dd0ce32d" xsi:nil="true"/>
    <Kommentar xmlns="d16c1a68-7abd-48ef-b484-7d54634ec3d5">Hochgeladen auf Homepage von Krautschneider am 2.12.2022</Kommentar>
  </documentManagement>
</p:properties>
</file>

<file path=customXml/itemProps1.xml><?xml version="1.0" encoding="utf-8"?>
<ds:datastoreItem xmlns:ds="http://schemas.openxmlformats.org/officeDocument/2006/customXml" ds:itemID="{06B4AFBF-2C73-4A5F-8E77-6665CCC04DC7}">
  <ds:schemaRefs>
    <ds:schemaRef ds:uri="http://schemas.microsoft.com/sharepoint/v3/contenttype/forms"/>
  </ds:schemaRefs>
</ds:datastoreItem>
</file>

<file path=customXml/itemProps2.xml><?xml version="1.0" encoding="utf-8"?>
<ds:datastoreItem xmlns:ds="http://schemas.openxmlformats.org/officeDocument/2006/customXml" ds:itemID="{19C2111C-523D-4EDB-9DFD-B5105014A6AE}">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d16c1a68-7abd-48ef-b484-7d54634ec3d5"/>
    <ds:schemaRef ds:uri="0c00c5cf-c319-4f5a-b81f-3ae9dd0ce32d"/>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3.xml><?xml version="1.0" encoding="utf-8"?>
<ds:datastoreItem xmlns:ds="http://schemas.openxmlformats.org/officeDocument/2006/customXml" ds:itemID="{AAA8E387-9A8D-4CE2-BB3E-1620FA393C05}">
  <ds:schemaRefs>
    <ds:schemaRef ds:uri="0c00c5cf-c319-4f5a-b81f-3ae9dd0ce32d"/>
    <ds:schemaRef ds:uri="d16c1a68-7abd-48ef-b484-7d54634ec3d5"/>
    <ds:schemaRef ds:uri="http://purl.org/dc/terms/"/>
    <ds:schemaRef ds:uri="http://schemas.microsoft.com/office/2006/metadata/properties"/>
    <ds:schemaRef ds:uri="http://schemas.microsoft.com/office/2006/documentManagement/types"/>
    <ds:schemaRef ds:uri="http://purl.org/dc/elements/1.1/"/>
    <ds:schemaRef ds:uri="http://schemas.microsoft.com/office/infopath/2007/PartnerControls"/>
    <ds:schemaRef ds:uri="http://schemas.openxmlformats.org/package/2006/metadata/core-properties"/>
    <ds:schemaRef ds:uri="http://www.w3.org/XML/1998/namespace"/>
    <ds:schemaRef ds:uri="http://purl.org/dc/dcmitype/"/>
  </ds:schemaRefs>
</ds:datastoreItem>
</file>

<file path=docProps/app.xml><?xml version="1.0" encoding="utf-8"?>
<Properties xmlns="http://schemas.openxmlformats.org/officeDocument/2006/extended-properties" xmlns:vt="http://schemas.openxmlformats.org/officeDocument/2006/docPropsVTypes">
  <TotalTime>0</TotalTime>
  <Application>Microsoft Excel</Application>
  <DocSecurity>0</DocSecurity>
  <ScaleCrop>false</ScaleCrop>
  <HeadingPairs>
    <vt:vector size="4" baseType="variant">
      <vt:variant>
        <vt:lpstr>Arbeitsblätter</vt:lpstr>
      </vt:variant>
      <vt:variant>
        <vt:i4>11</vt:i4>
      </vt:variant>
      <vt:variant>
        <vt:lpstr>Benannte Bereiche</vt:lpstr>
      </vt:variant>
      <vt:variant>
        <vt:i4>81</vt:i4>
      </vt:variant>
    </vt:vector>
  </HeadingPairs>
  <TitlesOfParts>
    <vt:vector size="92" baseType="lpstr">
      <vt:lpstr>Erläuterung</vt:lpstr>
      <vt:lpstr>1 - Strom Erdgas Wärme Vgl</vt:lpstr>
      <vt:lpstr>2 - Strom Erdgas Wärme Förderj.</vt:lpstr>
      <vt:lpstr>3 - Treibstoffe Rechnungen</vt:lpstr>
      <vt:lpstr>3 - Treibstoffe</vt:lpstr>
      <vt:lpstr>4 - Heizöl_Holzpellets_Hacksch.</vt:lpstr>
      <vt:lpstr>5 - Zuschuss</vt:lpstr>
      <vt:lpstr>Import</vt:lpstr>
      <vt:lpstr>Zählpunkte Schritt 2</vt:lpstr>
      <vt:lpstr>Parameter</vt:lpstr>
      <vt:lpstr>Liste</vt:lpstr>
      <vt:lpstr>Auswahl_EBITDA</vt:lpstr>
      <vt:lpstr>Auswahl_Energieart</vt:lpstr>
      <vt:lpstr>Auswahl_JaNein</vt:lpstr>
      <vt:lpstr>Auswahl_Methode</vt:lpstr>
      <vt:lpstr>Auswahl_Öl</vt:lpstr>
      <vt:lpstr>Auswahl_Treibstoffart</vt:lpstr>
      <vt:lpstr>B_E0_Liter_NichtVSt</vt:lpstr>
      <vt:lpstr>B_Standard_Liter_NichtVSt</vt:lpstr>
      <vt:lpstr>Benzin_Spez</vt:lpstr>
      <vt:lpstr>D_B0_Liter_NichtVSt</vt:lpstr>
      <vt:lpstr>D_Standard_Liter_NichtVSt</vt:lpstr>
      <vt:lpstr>Diesel_Spez</vt:lpstr>
      <vt:lpstr>do_Hackschnitzel</vt:lpstr>
      <vt:lpstr>do_Heizöl</vt:lpstr>
      <vt:lpstr>do_Pellets</vt:lpstr>
      <vt:lpstr>'3 - Treibstoffe'!Druckbereich</vt:lpstr>
      <vt:lpstr>'4 - Heizöl_Holzpellets_Hacksch.'!Druckbereich</vt:lpstr>
      <vt:lpstr>EBIDTA_VZ</vt:lpstr>
      <vt:lpstr>EBITDA_Absenkung</vt:lpstr>
      <vt:lpstr>EBITDA_FZ</vt:lpstr>
      <vt:lpstr>Energieart</vt:lpstr>
      <vt:lpstr>Energieträger_</vt:lpstr>
      <vt:lpstr>Heizölart</vt:lpstr>
      <vt:lpstr>HHH_VSt</vt:lpstr>
      <vt:lpstr>Lastprofilzähler</vt:lpstr>
      <vt:lpstr>Methoden</vt:lpstr>
      <vt:lpstr>par_EBITDA_Absenkung</vt:lpstr>
      <vt:lpstr>par_EBITDA_Deckel</vt:lpstr>
      <vt:lpstr>par_EBITDA_Grenzsatz</vt:lpstr>
      <vt:lpstr>par_Erdgas_kWh_max</vt:lpstr>
      <vt:lpstr>par_Erdgas_ZQ</vt:lpstr>
      <vt:lpstr>par_EZ_Grenze</vt:lpstr>
      <vt:lpstr>par_EZ_Grenze_txt</vt:lpstr>
      <vt:lpstr>par_EZ_Stufe</vt:lpstr>
      <vt:lpstr>par_FZ_dText</vt:lpstr>
      <vt:lpstr>par_FZ_Monate</vt:lpstr>
      <vt:lpstr>par_FZ_SEW_Ende</vt:lpstr>
      <vt:lpstr>par_FZ_SEW_Start</vt:lpstr>
      <vt:lpstr>par_FZ_Tage</vt:lpstr>
      <vt:lpstr>par_FZ_Text</vt:lpstr>
      <vt:lpstr>par_Hack_USt</vt:lpstr>
      <vt:lpstr>par_Hack_VZfaktor</vt:lpstr>
      <vt:lpstr>par_Heizöl_USt</vt:lpstr>
      <vt:lpstr>par_Heizöl_VZfaktor</vt:lpstr>
      <vt:lpstr>par_HZetc_ZQ</vt:lpstr>
      <vt:lpstr>par_Jahr1</vt:lpstr>
      <vt:lpstr>par_Jahr2</vt:lpstr>
      <vt:lpstr>par_Pauschalgrenze</vt:lpstr>
      <vt:lpstr>par_Pell_USt</vt:lpstr>
      <vt:lpstr>par_Pell_VZfaktor</vt:lpstr>
      <vt:lpstr>par_SEW_Richtlinie</vt:lpstr>
      <vt:lpstr>par_Strom_kWh_max</vt:lpstr>
      <vt:lpstr>par_Strom_ZQ</vt:lpstr>
      <vt:lpstr>par_Treibstoff_BasisPreisanstieg</vt:lpstr>
      <vt:lpstr>par_TS_brutto</vt:lpstr>
      <vt:lpstr>par_TS_MöstB</vt:lpstr>
      <vt:lpstr>par_TS_MöstB_E0</vt:lpstr>
      <vt:lpstr>par_TS_MöstD</vt:lpstr>
      <vt:lpstr>par_TS_MöstD_B0</vt:lpstr>
      <vt:lpstr>par_TS_Ust</vt:lpstr>
      <vt:lpstr>par_TS_ZQ</vt:lpstr>
      <vt:lpstr>par_VZ_dText</vt:lpstr>
      <vt:lpstr>par_VZ_Monate</vt:lpstr>
      <vt:lpstr>par_VZ_SEW_Ende</vt:lpstr>
      <vt:lpstr>par_VZ_SEW_Start</vt:lpstr>
      <vt:lpstr>par_VZ_Tage</vt:lpstr>
      <vt:lpstr>par_VZ_Text</vt:lpstr>
      <vt:lpstr>par_WK_kWh_max</vt:lpstr>
      <vt:lpstr>par_WK_ZQ</vt:lpstr>
      <vt:lpstr>par_Zuschuss_EBITDAgrenze</vt:lpstr>
      <vt:lpstr>par_Zuschuss_max</vt:lpstr>
      <vt:lpstr>par_Zuschuss_Pauschal</vt:lpstr>
      <vt:lpstr>par_Zuschuss_Untergrenze</vt:lpstr>
      <vt:lpstr>Treibstoffspezifikation</vt:lpstr>
      <vt:lpstr>TS_brutto</vt:lpstr>
      <vt:lpstr>TS_Liter</vt:lpstr>
      <vt:lpstr>TS_netto</vt:lpstr>
      <vt:lpstr>TS_Treibstoffart</vt:lpstr>
      <vt:lpstr>TS_Vorsteuer</vt:lpstr>
      <vt:lpstr>Verweis_Heizölart</vt:lpstr>
      <vt:lpstr>Zuschuss_vorläufig</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Autor</dc:creator>
  <cp:keywords/>
  <dc:description/>
  <cp:lastModifiedBy>Mag. Alexandra Wailzer</cp:lastModifiedBy>
  <cp:revision/>
  <cp:lastPrinted>2023-04-19T15:55:35Z</cp:lastPrinted>
  <dcterms:created xsi:type="dcterms:W3CDTF">2022-09-16T06:56:09Z</dcterms:created>
  <dcterms:modified xsi:type="dcterms:W3CDTF">2023-11-10T11:27:31Z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0x0101002EE0FB56F6C7944B95FE0476062B8EB0</vt:lpwstr>
  </property>
  <property fmtid="{D5CDD505-2E9C-101B-9397-08002B2CF9AE}" pid="3" name="MediaServiceImageTags">
    <vt:lpwstr/>
  </property>
</Properties>
</file>